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xr:revisionPtr revIDLastSave="0" documentId="8_{95C2D72B-38C2-495E-BB47-263F5E70F07A}" xr6:coauthVersionLast="47" xr6:coauthVersionMax="47" xr10:uidLastSave="{00000000-0000-0000-0000-000000000000}"/>
  <bookViews>
    <workbookView xWindow="-108" yWindow="-108" windowWidth="23256" windowHeight="12576" tabRatio="908" activeTab="1" xr2:uid="{87C65B01-CAD7-4F4E-8AAB-7AE8F6A8A8A9}"/>
  </bookViews>
  <sheets>
    <sheet name="Aviso" sheetId="10" r:id="rId1"/>
    <sheet name="Modelagem 12.23" sheetId="6" r:id="rId2"/>
    <sheet name="Balancete não auditado 12.22" sheetId="13" r:id="rId3"/>
    <sheet name="Dre não Auditado 12.22" sheetId="14" r:id="rId4"/>
    <sheet name="Dívida-Principal" sheetId="16" r:id="rId5"/>
    <sheet name="Mercado" sheetId="17" r:id="rId6"/>
    <sheet name="Receita" sheetId="26" state="hidden" r:id="rId7"/>
    <sheet name="Comercialização&amp;Produção ATR 23" sheetId="19" state="hidden" r:id="rId8"/>
    <sheet name="Comercialização&amp;Produção Atr 22" sheetId="15" state="hidden" r:id="rId9"/>
    <sheet name="Comercial 19032024" sheetId="25" state="hidden" r:id="rId10"/>
    <sheet name="Comercial Anterior" sheetId="21" state="hidden" r:id="rId11"/>
  </sheets>
  <externalReferences>
    <externalReference r:id="rId12"/>
    <externalReference r:id="rId13"/>
  </externalReferences>
  <definedNames>
    <definedName name="_xlnm.Print_Area" localSheetId="1">'Modelagem 12.23'!$A$1:$L$67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4" l="1"/>
  <c r="F67" i="6" l="1"/>
  <c r="J67" i="6"/>
  <c r="N9" i="17"/>
  <c r="N16" i="17"/>
  <c r="AG10" i="25" l="1"/>
  <c r="O67" i="6" l="1"/>
  <c r="N67" i="6"/>
  <c r="L67" i="6"/>
  <c r="M67" i="6"/>
  <c r="I67" i="6"/>
  <c r="R30" i="6"/>
  <c r="Y37" i="6"/>
  <c r="O51" i="26"/>
  <c r="M47" i="26"/>
  <c r="L47" i="26"/>
  <c r="E47" i="26"/>
  <c r="D47" i="26"/>
  <c r="N46" i="26"/>
  <c r="N47" i="26"/>
  <c r="M46" i="26"/>
  <c r="L46" i="26"/>
  <c r="K46" i="26"/>
  <c r="K47" i="26"/>
  <c r="J46" i="26"/>
  <c r="J45" i="26"/>
  <c r="I46" i="26"/>
  <c r="I45" i="26"/>
  <c r="H46" i="26"/>
  <c r="H47" i="26"/>
  <c r="G46" i="26"/>
  <c r="G47" i="26"/>
  <c r="F46" i="26"/>
  <c r="F47" i="26"/>
  <c r="E46" i="26"/>
  <c r="D46" i="26"/>
  <c r="C46" i="26"/>
  <c r="C47" i="26"/>
  <c r="N45" i="26"/>
  <c r="G45" i="26"/>
  <c r="F45" i="26"/>
  <c r="N44" i="26"/>
  <c r="M44" i="26"/>
  <c r="M45" i="26"/>
  <c r="L44" i="26"/>
  <c r="L45" i="26"/>
  <c r="K44" i="26"/>
  <c r="K45" i="26"/>
  <c r="J44" i="26"/>
  <c r="I44" i="26"/>
  <c r="H44" i="26"/>
  <c r="H45" i="26"/>
  <c r="G44" i="26"/>
  <c r="F44" i="26"/>
  <c r="E44" i="26"/>
  <c r="E45" i="26"/>
  <c r="D44" i="26"/>
  <c r="D45" i="26"/>
  <c r="C44" i="26"/>
  <c r="O44" i="26"/>
  <c r="I43" i="26"/>
  <c r="H43" i="26"/>
  <c r="G43" i="26"/>
  <c r="F43" i="26"/>
  <c r="E43" i="26"/>
  <c r="E42" i="26"/>
  <c r="D43" i="26"/>
  <c r="D42" i="26"/>
  <c r="C43" i="26"/>
  <c r="C42" i="26"/>
  <c r="I41" i="26"/>
  <c r="I42" i="26"/>
  <c r="H41" i="26"/>
  <c r="H42" i="26"/>
  <c r="G41" i="26"/>
  <c r="G42" i="26"/>
  <c r="F41" i="26"/>
  <c r="F42" i="26"/>
  <c r="E41" i="26"/>
  <c r="D41" i="26"/>
  <c r="C41" i="26"/>
  <c r="O41" i="26"/>
  <c r="N40" i="26"/>
  <c r="N39" i="26"/>
  <c r="M40" i="26"/>
  <c r="L40" i="26"/>
  <c r="K40" i="26"/>
  <c r="K39" i="26"/>
  <c r="J40" i="26"/>
  <c r="J39" i="26"/>
  <c r="I40" i="26"/>
  <c r="I39" i="26"/>
  <c r="H40" i="26"/>
  <c r="G40" i="26"/>
  <c r="F40" i="26"/>
  <c r="F39" i="26"/>
  <c r="E40" i="26"/>
  <c r="D40" i="26"/>
  <c r="C40" i="26"/>
  <c r="C39" i="26"/>
  <c r="R39" i="26"/>
  <c r="H39" i="26"/>
  <c r="N38" i="26"/>
  <c r="M38" i="26"/>
  <c r="M39" i="26"/>
  <c r="L38" i="26"/>
  <c r="L39" i="26"/>
  <c r="K38" i="26"/>
  <c r="J38" i="26"/>
  <c r="I38" i="26"/>
  <c r="H38" i="26"/>
  <c r="G38" i="26"/>
  <c r="G39" i="26"/>
  <c r="F38" i="26"/>
  <c r="E38" i="26"/>
  <c r="O38" i="26"/>
  <c r="D38" i="26"/>
  <c r="D39" i="26"/>
  <c r="C38" i="26"/>
  <c r="N36" i="26"/>
  <c r="M36" i="26"/>
  <c r="L36" i="26"/>
  <c r="K36" i="26"/>
  <c r="J36" i="26"/>
  <c r="I36" i="26"/>
  <c r="H36" i="26"/>
  <c r="G36" i="26"/>
  <c r="F36" i="26"/>
  <c r="E36" i="26"/>
  <c r="D36" i="26"/>
  <c r="C36" i="26"/>
  <c r="P36" i="26"/>
  <c r="O35" i="26"/>
  <c r="O34" i="26"/>
  <c r="N32" i="26"/>
  <c r="M32" i="26"/>
  <c r="J32" i="26"/>
  <c r="G32" i="26"/>
  <c r="F32" i="26"/>
  <c r="E32" i="26"/>
  <c r="E49" i="26"/>
  <c r="N31" i="26"/>
  <c r="M31" i="26"/>
  <c r="L31" i="26"/>
  <c r="Q31" i="26"/>
  <c r="K31" i="26"/>
  <c r="J31" i="26"/>
  <c r="I31" i="26"/>
  <c r="H31" i="26"/>
  <c r="G31" i="26"/>
  <c r="F31" i="26"/>
  <c r="E31" i="26"/>
  <c r="D31" i="26"/>
  <c r="C31" i="26"/>
  <c r="P31" i="26"/>
  <c r="N30" i="26"/>
  <c r="M30" i="26"/>
  <c r="L30" i="26"/>
  <c r="L32" i="26"/>
  <c r="K30" i="26"/>
  <c r="K32" i="26"/>
  <c r="J30" i="26"/>
  <c r="I30" i="26"/>
  <c r="I32" i="26"/>
  <c r="H30" i="26"/>
  <c r="H32" i="26"/>
  <c r="G30" i="26"/>
  <c r="F30" i="26"/>
  <c r="E30" i="26"/>
  <c r="D30" i="26"/>
  <c r="D32" i="26"/>
  <c r="C30" i="26"/>
  <c r="O30" i="26"/>
  <c r="Q28" i="26"/>
  <c r="P28" i="26"/>
  <c r="O28" i="26"/>
  <c r="Q27" i="26"/>
  <c r="P27" i="26"/>
  <c r="O27" i="26"/>
  <c r="Q25" i="26"/>
  <c r="P25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Q24" i="26"/>
  <c r="P24" i="26"/>
  <c r="O24" i="26"/>
  <c r="Q23" i="26"/>
  <c r="P23" i="26"/>
  <c r="O23" i="26"/>
  <c r="O25" i="26"/>
  <c r="F19" i="26"/>
  <c r="F13" i="26" s="1"/>
  <c r="E19" i="26"/>
  <c r="E13" i="26" s="1"/>
  <c r="N18" i="26"/>
  <c r="M18" i="26"/>
  <c r="L18" i="26"/>
  <c r="Q18" i="26" s="1"/>
  <c r="K18" i="26"/>
  <c r="J18" i="26"/>
  <c r="I18" i="26"/>
  <c r="H18" i="26"/>
  <c r="G18" i="26"/>
  <c r="F18" i="26"/>
  <c r="E18" i="26"/>
  <c r="D18" i="26"/>
  <c r="C18" i="26"/>
  <c r="P18" i="26" s="1"/>
  <c r="N17" i="26"/>
  <c r="M17" i="26"/>
  <c r="Q17" i="26" s="1"/>
  <c r="L17" i="26"/>
  <c r="K17" i="26"/>
  <c r="J17" i="26"/>
  <c r="I17" i="26"/>
  <c r="I19" i="26" s="1"/>
  <c r="H17" i="26"/>
  <c r="G17" i="26"/>
  <c r="F17" i="26"/>
  <c r="E17" i="26"/>
  <c r="D17" i="26"/>
  <c r="C17" i="26"/>
  <c r="O17" i="26" s="1"/>
  <c r="N16" i="26"/>
  <c r="Q16" i="26" s="1"/>
  <c r="M16" i="26"/>
  <c r="L16" i="26"/>
  <c r="K16" i="26"/>
  <c r="J16" i="26"/>
  <c r="I16" i="26"/>
  <c r="H16" i="26"/>
  <c r="G16" i="26"/>
  <c r="F16" i="26"/>
  <c r="E16" i="26"/>
  <c r="D16" i="26"/>
  <c r="C16" i="26"/>
  <c r="O16" i="26" s="1"/>
  <c r="O19" i="26" s="1"/>
  <c r="Q39" i="26" s="1"/>
  <c r="Q15" i="26"/>
  <c r="N15" i="26"/>
  <c r="N19" i="26" s="1"/>
  <c r="M15" i="26"/>
  <c r="M19" i="26" s="1"/>
  <c r="L15" i="26"/>
  <c r="L19" i="26" s="1"/>
  <c r="K15" i="26"/>
  <c r="K19" i="26" s="1"/>
  <c r="J15" i="26"/>
  <c r="J19" i="26"/>
  <c r="I15" i="26"/>
  <c r="H15" i="26"/>
  <c r="H19" i="26"/>
  <c r="H13" i="26" s="1"/>
  <c r="G15" i="26"/>
  <c r="G19" i="26" s="1"/>
  <c r="F15" i="26"/>
  <c r="E15" i="26"/>
  <c r="D15" i="26"/>
  <c r="D19" i="26" s="1"/>
  <c r="C15" i="26"/>
  <c r="P15" i="26" s="1"/>
  <c r="Q12" i="26"/>
  <c r="P12" i="26"/>
  <c r="O12" i="26"/>
  <c r="Q11" i="26"/>
  <c r="P11" i="26"/>
  <c r="O11" i="26"/>
  <c r="Q10" i="26"/>
  <c r="P10" i="26"/>
  <c r="O10" i="26"/>
  <c r="Q9" i="26"/>
  <c r="P9" i="26"/>
  <c r="O9" i="26"/>
  <c r="N7" i="26"/>
  <c r="M7" i="26"/>
  <c r="L7" i="26"/>
  <c r="K7" i="26"/>
  <c r="J7" i="26"/>
  <c r="J13" i="26" s="1"/>
  <c r="I7" i="26"/>
  <c r="H7" i="26"/>
  <c r="G7" i="26"/>
  <c r="F7" i="26"/>
  <c r="E7" i="26"/>
  <c r="D7" i="26"/>
  <c r="C7" i="26"/>
  <c r="Q6" i="26"/>
  <c r="P6" i="26"/>
  <c r="O6" i="26"/>
  <c r="Q5" i="26"/>
  <c r="P5" i="26"/>
  <c r="O5" i="26"/>
  <c r="Q4" i="26"/>
  <c r="P4" i="26"/>
  <c r="O4" i="26"/>
  <c r="O7" i="26" s="1"/>
  <c r="Q3" i="26"/>
  <c r="Q7" i="26"/>
  <c r="P3" i="26"/>
  <c r="P7" i="26" s="1"/>
  <c r="O3" i="26"/>
  <c r="R20" i="6"/>
  <c r="H49" i="26"/>
  <c r="J49" i="26"/>
  <c r="F49" i="26"/>
  <c r="Q47" i="26"/>
  <c r="P30" i="26"/>
  <c r="P32" i="26"/>
  <c r="Q36" i="26"/>
  <c r="E39" i="26"/>
  <c r="O15" i="26"/>
  <c r="P16" i="26"/>
  <c r="C19" i="26"/>
  <c r="C49" i="26" s="1"/>
  <c r="Q30" i="26"/>
  <c r="Q32" i="26"/>
  <c r="C32" i="26"/>
  <c r="O40" i="26"/>
  <c r="O39" i="26"/>
  <c r="O46" i="26"/>
  <c r="J47" i="26"/>
  <c r="P17" i="26"/>
  <c r="C45" i="26"/>
  <c r="I47" i="26"/>
  <c r="P47" i="26"/>
  <c r="O43" i="26"/>
  <c r="O42" i="26"/>
  <c r="O18" i="26"/>
  <c r="O31" i="26"/>
  <c r="O32" i="26"/>
  <c r="O36" i="26"/>
  <c r="O47" i="26"/>
  <c r="O45" i="26"/>
  <c r="Y104" i="25"/>
  <c r="W104" i="25"/>
  <c r="U104" i="25"/>
  <c r="S104" i="25"/>
  <c r="Q104" i="25"/>
  <c r="O104" i="25"/>
  <c r="M104" i="25"/>
  <c r="K104" i="25"/>
  <c r="I104" i="25"/>
  <c r="G104" i="25"/>
  <c r="E104" i="25"/>
  <c r="C104" i="25"/>
  <c r="AA104" i="25"/>
  <c r="Y103" i="25"/>
  <c r="W103" i="25"/>
  <c r="U103" i="25"/>
  <c r="S103" i="25"/>
  <c r="Q103" i="25"/>
  <c r="O103" i="25"/>
  <c r="M103" i="25"/>
  <c r="K103" i="25"/>
  <c r="I103" i="25"/>
  <c r="G103" i="25"/>
  <c r="E103" i="25"/>
  <c r="C103" i="25"/>
  <c r="AA103" i="25"/>
  <c r="S102" i="25"/>
  <c r="M102" i="25"/>
  <c r="K102" i="25"/>
  <c r="C102" i="25"/>
  <c r="U101" i="25"/>
  <c r="S101" i="25"/>
  <c r="Q101" i="25"/>
  <c r="O101" i="25"/>
  <c r="M101" i="25"/>
  <c r="K101" i="25"/>
  <c r="I101" i="25"/>
  <c r="G101" i="25"/>
  <c r="E101" i="25"/>
  <c r="C101" i="25"/>
  <c r="W100" i="25"/>
  <c r="O100" i="25"/>
  <c r="G100" i="25"/>
  <c r="G105" i="25"/>
  <c r="AA90" i="25"/>
  <c r="AA89" i="25"/>
  <c r="AA88" i="25"/>
  <c r="AA87" i="25"/>
  <c r="AA86" i="25"/>
  <c r="AA77" i="25"/>
  <c r="AA76" i="25"/>
  <c r="AA75" i="25"/>
  <c r="AA74" i="25"/>
  <c r="AC69" i="25"/>
  <c r="AB69" i="25"/>
  <c r="Y69" i="25"/>
  <c r="Y102" i="25"/>
  <c r="W69" i="25"/>
  <c r="W102" i="25"/>
  <c r="U69" i="25"/>
  <c r="U102" i="25"/>
  <c r="S69" i="25"/>
  <c r="Q69" i="25"/>
  <c r="Q102" i="25"/>
  <c r="O69" i="25"/>
  <c r="O102" i="25"/>
  <c r="M69" i="25"/>
  <c r="K69" i="25"/>
  <c r="I69" i="25"/>
  <c r="I102" i="25"/>
  <c r="G69" i="25"/>
  <c r="G102" i="25"/>
  <c r="E69" i="25"/>
  <c r="E102" i="25"/>
  <c r="C69" i="25"/>
  <c r="AA65" i="25"/>
  <c r="Y62" i="25"/>
  <c r="W62" i="25"/>
  <c r="U62" i="25"/>
  <c r="S62" i="25"/>
  <c r="Q62" i="25"/>
  <c r="O62" i="25"/>
  <c r="M62" i="25"/>
  <c r="K62" i="25"/>
  <c r="I62" i="25"/>
  <c r="G62" i="25"/>
  <c r="E62" i="25"/>
  <c r="C62" i="25"/>
  <c r="AA62" i="25"/>
  <c r="Y61" i="25"/>
  <c r="S61" i="25"/>
  <c r="M61" i="25"/>
  <c r="I61" i="25"/>
  <c r="Y60" i="25"/>
  <c r="W60" i="25"/>
  <c r="W61" i="25"/>
  <c r="W63" i="25"/>
  <c r="U60" i="25"/>
  <c r="U100" i="25"/>
  <c r="U105" i="25"/>
  <c r="S60" i="25"/>
  <c r="S63" i="25"/>
  <c r="Q60" i="25"/>
  <c r="Q61" i="25"/>
  <c r="O60" i="25"/>
  <c r="O61" i="25"/>
  <c r="M60" i="25"/>
  <c r="K60" i="25"/>
  <c r="K61" i="25"/>
  <c r="I60" i="25"/>
  <c r="AA60" i="25"/>
  <c r="G60" i="25"/>
  <c r="E60" i="25"/>
  <c r="E61" i="25"/>
  <c r="E63" i="25"/>
  <c r="C60" i="25"/>
  <c r="AC56" i="25"/>
  <c r="Y56" i="25"/>
  <c r="U56" i="25"/>
  <c r="S56" i="25"/>
  <c r="O56" i="25"/>
  <c r="M56" i="25"/>
  <c r="K56" i="25"/>
  <c r="J56" i="25"/>
  <c r="I56" i="25"/>
  <c r="G56" i="25"/>
  <c r="E56" i="25"/>
  <c r="Y55" i="25"/>
  <c r="W55" i="25"/>
  <c r="U55" i="25"/>
  <c r="S55" i="25"/>
  <c r="O55" i="25"/>
  <c r="M55" i="25"/>
  <c r="K55" i="25"/>
  <c r="I55" i="25"/>
  <c r="AA55" i="25"/>
  <c r="G55" i="25"/>
  <c r="E55" i="25"/>
  <c r="AB54" i="25"/>
  <c r="AB56" i="25"/>
  <c r="AA54" i="25"/>
  <c r="Y53" i="25"/>
  <c r="W53" i="25"/>
  <c r="U53" i="25"/>
  <c r="S53" i="25"/>
  <c r="C53" i="25"/>
  <c r="C56" i="25"/>
  <c r="AB52" i="25"/>
  <c r="W52" i="25"/>
  <c r="W56" i="25"/>
  <c r="U50" i="25"/>
  <c r="U51" i="25"/>
  <c r="U49" i="25"/>
  <c r="U39" i="25"/>
  <c r="Q49" i="25"/>
  <c r="K49" i="25"/>
  <c r="K39" i="25"/>
  <c r="E49" i="25"/>
  <c r="Y48" i="25"/>
  <c r="Q48" i="25"/>
  <c r="I48" i="25"/>
  <c r="AB47" i="25"/>
  <c r="AA47" i="25"/>
  <c r="AD32" i="25"/>
  <c r="W46" i="25"/>
  <c r="U46" i="25"/>
  <c r="S46" i="25"/>
  <c r="O46" i="25"/>
  <c r="K46" i="25"/>
  <c r="G46" i="25"/>
  <c r="E46" i="25"/>
  <c r="C46" i="25"/>
  <c r="AB45" i="25"/>
  <c r="Y45" i="25"/>
  <c r="Y46" i="25"/>
  <c r="W45" i="25"/>
  <c r="W49" i="25"/>
  <c r="W39" i="25"/>
  <c r="U45" i="25"/>
  <c r="S45" i="25"/>
  <c r="S49" i="25"/>
  <c r="S39" i="25"/>
  <c r="Q45" i="25"/>
  <c r="Q46" i="25"/>
  <c r="O45" i="25"/>
  <c r="M45" i="25"/>
  <c r="M46" i="25"/>
  <c r="K45" i="25"/>
  <c r="I45" i="25"/>
  <c r="I46" i="25"/>
  <c r="G45" i="25"/>
  <c r="E45" i="25"/>
  <c r="C45" i="25"/>
  <c r="AF44" i="25"/>
  <c r="Y44" i="25"/>
  <c r="W44" i="25"/>
  <c r="U44" i="25"/>
  <c r="S44" i="25"/>
  <c r="Q44" i="25"/>
  <c r="AB43" i="25"/>
  <c r="AA43" i="25"/>
  <c r="Y42" i="25"/>
  <c r="W42" i="25"/>
  <c r="U42" i="25"/>
  <c r="S42" i="25"/>
  <c r="Q42" i="25"/>
  <c r="K42" i="25"/>
  <c r="E42" i="25"/>
  <c r="C42" i="25"/>
  <c r="AB41" i="25"/>
  <c r="AB49" i="25"/>
  <c r="AD49" i="25"/>
  <c r="Q41" i="25"/>
  <c r="Q63" i="25"/>
  <c r="O41" i="25"/>
  <c r="O49" i="25"/>
  <c r="O39" i="25"/>
  <c r="M41" i="25"/>
  <c r="M100" i="25"/>
  <c r="M105" i="25"/>
  <c r="K41" i="25"/>
  <c r="K63" i="25"/>
  <c r="I41" i="25"/>
  <c r="G41" i="25"/>
  <c r="G49" i="25"/>
  <c r="G39" i="25"/>
  <c r="E41" i="25"/>
  <c r="E100" i="25"/>
  <c r="E105" i="25"/>
  <c r="AH40" i="25"/>
  <c r="E39" i="25"/>
  <c r="AC35" i="25"/>
  <c r="AB35" i="25"/>
  <c r="AA35" i="25"/>
  <c r="AA69" i="25"/>
  <c r="AB34" i="25"/>
  <c r="S34" i="25"/>
  <c r="M34" i="25"/>
  <c r="M53" i="25"/>
  <c r="I34" i="25"/>
  <c r="I53" i="25"/>
  <c r="C34" i="25"/>
  <c r="AC33" i="25"/>
  <c r="AB33" i="25"/>
  <c r="AA33" i="25"/>
  <c r="AC32" i="25"/>
  <c r="AC34" i="25"/>
  <c r="O32" i="25"/>
  <c r="O34" i="25"/>
  <c r="O53" i="25"/>
  <c r="N32" i="25"/>
  <c r="M32" i="25"/>
  <c r="L32" i="25"/>
  <c r="K32" i="25"/>
  <c r="K34" i="25"/>
  <c r="K53" i="25"/>
  <c r="J32" i="25"/>
  <c r="I32" i="25"/>
  <c r="H32" i="25"/>
  <c r="AB32" i="25"/>
  <c r="G32" i="25"/>
  <c r="G34" i="25"/>
  <c r="G53" i="25"/>
  <c r="E32" i="25"/>
  <c r="E34" i="25"/>
  <c r="E53" i="25"/>
  <c r="C32" i="25"/>
  <c r="AB31" i="25"/>
  <c r="Y31" i="25"/>
  <c r="I31" i="25"/>
  <c r="I26" i="25"/>
  <c r="AC30" i="25"/>
  <c r="AB30" i="25"/>
  <c r="AA30" i="25"/>
  <c r="AB29" i="25"/>
  <c r="AB26" i="25"/>
  <c r="O29" i="25"/>
  <c r="O31" i="25"/>
  <c r="M29" i="25"/>
  <c r="K29" i="25"/>
  <c r="K31" i="25"/>
  <c r="I29" i="25"/>
  <c r="I44" i="25"/>
  <c r="G29" i="25"/>
  <c r="G44" i="25"/>
  <c r="E29" i="25"/>
  <c r="E44" i="25"/>
  <c r="C29" i="25"/>
  <c r="C44" i="25"/>
  <c r="AC28" i="25"/>
  <c r="AB28" i="25"/>
  <c r="AA28" i="25"/>
  <c r="AB27" i="25"/>
  <c r="W27" i="25"/>
  <c r="W48" i="25"/>
  <c r="U27" i="25"/>
  <c r="U48" i="25"/>
  <c r="S27" i="25"/>
  <c r="S48" i="25"/>
  <c r="Q27" i="25"/>
  <c r="O27" i="25"/>
  <c r="O48" i="25"/>
  <c r="K27" i="25"/>
  <c r="K48" i="25"/>
  <c r="I27" i="25"/>
  <c r="E27" i="25"/>
  <c r="E48" i="25"/>
  <c r="AH24" i="25"/>
  <c r="AC22" i="25"/>
  <c r="AG22" i="25"/>
  <c r="AB22" i="25"/>
  <c r="AA22" i="25"/>
  <c r="AD21" i="25"/>
  <c r="AC21" i="25"/>
  <c r="AB21" i="25"/>
  <c r="AA21" i="25"/>
  <c r="K18" i="25"/>
  <c r="E18" i="25"/>
  <c r="AA17" i="25"/>
  <c r="O15" i="25"/>
  <c r="M15" i="25"/>
  <c r="K15" i="25"/>
  <c r="I15" i="25"/>
  <c r="G15" i="25"/>
  <c r="E15" i="25"/>
  <c r="O14" i="25"/>
  <c r="M14" i="25"/>
  <c r="K14" i="25"/>
  <c r="I14" i="25"/>
  <c r="G14" i="25"/>
  <c r="E14" i="25"/>
  <c r="C14" i="25"/>
  <c r="AD12" i="25"/>
  <c r="AF14" i="25"/>
  <c r="AB13" i="25"/>
  <c r="O13" i="25"/>
  <c r="O18" i="25"/>
  <c r="M13" i="25"/>
  <c r="K13" i="25"/>
  <c r="K19" i="25"/>
  <c r="I13" i="25"/>
  <c r="I18" i="25"/>
  <c r="G13" i="25"/>
  <c r="G18" i="25"/>
  <c r="E13" i="25"/>
  <c r="E19" i="25"/>
  <c r="C13" i="25"/>
  <c r="C19" i="25"/>
  <c r="AA12" i="25"/>
  <c r="AA13" i="25"/>
  <c r="AC11" i="25"/>
  <c r="AB11" i="25"/>
  <c r="AA11" i="25"/>
  <c r="AC6" i="25"/>
  <c r="O6" i="25"/>
  <c r="M6" i="25"/>
  <c r="K6" i="25"/>
  <c r="I6" i="25"/>
  <c r="G6" i="25"/>
  <c r="E6" i="25"/>
  <c r="C6" i="25"/>
  <c r="AF3" i="25"/>
  <c r="AF2" i="25"/>
  <c r="Y51" i="25"/>
  <c r="M2" i="25"/>
  <c r="M1" i="25"/>
  <c r="K37" i="25"/>
  <c r="K26" i="25"/>
  <c r="AA34" i="25"/>
  <c r="AD56" i="25"/>
  <c r="O37" i="25"/>
  <c r="O26" i="25"/>
  <c r="AE21" i="25"/>
  <c r="AA53" i="25"/>
  <c r="AB39" i="25"/>
  <c r="M19" i="25"/>
  <c r="O105" i="25"/>
  <c r="Y63" i="25"/>
  <c r="AD16" i="25"/>
  <c r="AF16" i="25"/>
  <c r="O63" i="25"/>
  <c r="AA102" i="25"/>
  <c r="AA18" i="25"/>
  <c r="AJ25" i="25"/>
  <c r="O19" i="25"/>
  <c r="S31" i="25"/>
  <c r="I42" i="25"/>
  <c r="K44" i="25"/>
  <c r="AF47" i="25"/>
  <c r="I49" i="25"/>
  <c r="I39" i="25"/>
  <c r="Y49" i="25"/>
  <c r="J51" i="25"/>
  <c r="R51" i="25"/>
  <c r="AA64" i="25"/>
  <c r="C27" i="25"/>
  <c r="C31" i="25"/>
  <c r="AA15" i="25"/>
  <c r="I19" i="25"/>
  <c r="U31" i="25"/>
  <c r="C51" i="25"/>
  <c r="K51" i="25"/>
  <c r="S51" i="25"/>
  <c r="AA52" i="25"/>
  <c r="Q100" i="25"/>
  <c r="Q105" i="25"/>
  <c r="W101" i="25"/>
  <c r="W105" i="25"/>
  <c r="AC12" i="25"/>
  <c r="AC13" i="25"/>
  <c r="G19" i="25"/>
  <c r="AD18" i="25"/>
  <c r="M18" i="25"/>
  <c r="AA41" i="25"/>
  <c r="AA49" i="25"/>
  <c r="M44" i="25"/>
  <c r="G27" i="25"/>
  <c r="G48" i="25"/>
  <c r="E31" i="25"/>
  <c r="W31" i="25"/>
  <c r="AA32" i="25"/>
  <c r="I37" i="25"/>
  <c r="M42" i="25"/>
  <c r="O44" i="25"/>
  <c r="M49" i="25"/>
  <c r="D51" i="25"/>
  <c r="L51" i="25"/>
  <c r="T51" i="25"/>
  <c r="C61" i="25"/>
  <c r="AA61" i="25"/>
  <c r="U61" i="25"/>
  <c r="U63" i="25"/>
  <c r="C100" i="25"/>
  <c r="S100" i="25"/>
  <c r="S105" i="25"/>
  <c r="AA29" i="25"/>
  <c r="AC29" i="25"/>
  <c r="AC43" i="25"/>
  <c r="G31" i="25"/>
  <c r="O42" i="25"/>
  <c r="E51" i="25"/>
  <c r="M51" i="25"/>
  <c r="N51" i="25"/>
  <c r="AA59" i="25"/>
  <c r="AA107" i="25"/>
  <c r="M27" i="25"/>
  <c r="M48" i="25"/>
  <c r="AA45" i="25"/>
  <c r="AC45" i="25"/>
  <c r="C49" i="25"/>
  <c r="G51" i="25"/>
  <c r="O51" i="25"/>
  <c r="W51" i="25"/>
  <c r="G63" i="25"/>
  <c r="I100" i="25"/>
  <c r="I105" i="25"/>
  <c r="Y100" i="25"/>
  <c r="F51" i="25"/>
  <c r="AD37" i="25"/>
  <c r="H51" i="25"/>
  <c r="P51" i="25"/>
  <c r="X51" i="25"/>
  <c r="K100" i="25"/>
  <c r="K105" i="25"/>
  <c r="V51" i="25"/>
  <c r="AF7" i="25"/>
  <c r="AE10" i="25"/>
  <c r="AJ26" i="25"/>
  <c r="G42" i="25"/>
  <c r="I51" i="25"/>
  <c r="Q51" i="25"/>
  <c r="AG49" i="25"/>
  <c r="AA39" i="25"/>
  <c r="AD23" i="25"/>
  <c r="AE18" i="25"/>
  <c r="C37" i="25"/>
  <c r="AA109" i="25"/>
  <c r="AC109" i="25"/>
  <c r="C63" i="25"/>
  <c r="AA63" i="25"/>
  <c r="AA100" i="25"/>
  <c r="C105" i="25"/>
  <c r="G26" i="25"/>
  <c r="G37" i="25"/>
  <c r="M63" i="25"/>
  <c r="M39" i="25"/>
  <c r="AC41" i="25"/>
  <c r="I63" i="25"/>
  <c r="AG52" i="25"/>
  <c r="AG25" i="25"/>
  <c r="AJ28" i="25"/>
  <c r="Y101" i="25"/>
  <c r="AA101" i="25"/>
  <c r="Y105" i="25"/>
  <c r="AA27" i="25"/>
  <c r="AC27" i="25"/>
  <c r="C48" i="25"/>
  <c r="AE49" i="25"/>
  <c r="Y39" i="25"/>
  <c r="M31" i="25"/>
  <c r="E26" i="25"/>
  <c r="E37" i="25"/>
  <c r="G38" i="25"/>
  <c r="I38" i="25"/>
  <c r="K38" i="25"/>
  <c r="AA108" i="25"/>
  <c r="M37" i="25"/>
  <c r="M26" i="25"/>
  <c r="AH49" i="25"/>
  <c r="AG24" i="25"/>
  <c r="M38" i="25"/>
  <c r="O38" i="25"/>
  <c r="AA105" i="25"/>
  <c r="AD41" i="25"/>
  <c r="AC47" i="25"/>
  <c r="AD47" i="25"/>
  <c r="AC31" i="25"/>
  <c r="AC26" i="25"/>
  <c r="AA31" i="25"/>
  <c r="AD14" i="25"/>
  <c r="AA26" i="25"/>
  <c r="AC49" i="25"/>
  <c r="AA110" i="25"/>
  <c r="AC39" i="25"/>
  <c r="AB108" i="25"/>
  <c r="AC108" i="25"/>
  <c r="AC110" i="25"/>
  <c r="AG14" i="25"/>
  <c r="AG23" i="25"/>
  <c r="AE14" i="25"/>
  <c r="AG26" i="25"/>
  <c r="AJ24" i="25"/>
  <c r="AJ27" i="25"/>
  <c r="AK27" i="25"/>
  <c r="Y44" i="6"/>
  <c r="Y34" i="6"/>
  <c r="Y32" i="6"/>
  <c r="Y31" i="6"/>
  <c r="Y30" i="6"/>
  <c r="Q53" i="6"/>
  <c r="P53" i="6"/>
  <c r="Q42" i="6"/>
  <c r="Q54" i="6" s="1"/>
  <c r="P54" i="6"/>
  <c r="P37" i="6"/>
  <c r="P29" i="6"/>
  <c r="P22" i="6" s="1"/>
  <c r="P23" i="6" s="1"/>
  <c r="P24" i="6"/>
  <c r="P56" i="6"/>
  <c r="Q34" i="6"/>
  <c r="Q24" i="6" s="1"/>
  <c r="Q32" i="6"/>
  <c r="Q56" i="6"/>
  <c r="Q37" i="6"/>
  <c r="Q30" i="6"/>
  <c r="Q29" i="6"/>
  <c r="Q22" i="6" s="1"/>
  <c r="Q23" i="6" s="1"/>
  <c r="S55" i="6"/>
  <c r="S67" i="6" s="1"/>
  <c r="F21" i="19"/>
  <c r="D12" i="19"/>
  <c r="F4" i="19"/>
  <c r="G4" i="19"/>
  <c r="G8" i="19"/>
  <c r="F3" i="19"/>
  <c r="E10" i="19"/>
  <c r="F5" i="19"/>
  <c r="G5" i="19"/>
  <c r="D18" i="16"/>
  <c r="D34" i="16"/>
  <c r="C18" i="16"/>
  <c r="C14" i="16"/>
  <c r="E34" i="16"/>
  <c r="F34" i="16"/>
  <c r="G34" i="16"/>
  <c r="H34" i="16"/>
  <c r="B34" i="16"/>
  <c r="I32" i="16"/>
  <c r="I30" i="16"/>
  <c r="I28" i="16"/>
  <c r="I26" i="16"/>
  <c r="I24" i="16"/>
  <c r="I22" i="16"/>
  <c r="I20" i="16"/>
  <c r="I16" i="16"/>
  <c r="I14" i="16"/>
  <c r="I12" i="16"/>
  <c r="I10" i="16"/>
  <c r="I8" i="16"/>
  <c r="I4" i="16"/>
  <c r="E4" i="16"/>
  <c r="D4" i="16"/>
  <c r="I18" i="16"/>
  <c r="C34" i="16"/>
  <c r="I34" i="16"/>
  <c r="E42" i="14"/>
  <c r="D30" i="14"/>
  <c r="C10" i="14"/>
  <c r="E15" i="13"/>
  <c r="C22" i="13"/>
  <c r="S31" i="6"/>
  <c r="Y42" i="6"/>
  <c r="Q61" i="6"/>
  <c r="P61" i="6"/>
  <c r="O3" i="17"/>
  <c r="S42" i="6"/>
  <c r="S54" i="6" s="1"/>
  <c r="S30" i="6"/>
  <c r="R61" i="6"/>
  <c r="S61" i="6" s="1"/>
  <c r="R42" i="6"/>
  <c r="R54" i="6" s="1"/>
  <c r="R16" i="6"/>
  <c r="S16" i="6" s="1"/>
  <c r="R15" i="6"/>
  <c r="S15" i="6" s="1"/>
  <c r="K16" i="19"/>
  <c r="F10" i="19"/>
  <c r="D15" i="19"/>
  <c r="D22" i="13"/>
  <c r="D30" i="13"/>
  <c r="D11" i="19"/>
  <c r="N6" i="17"/>
  <c r="N5" i="17" s="1"/>
  <c r="O7" i="17"/>
  <c r="O4" i="17"/>
  <c r="G10" i="19"/>
  <c r="Q22" i="17"/>
  <c r="X114" i="21"/>
  <c r="V114" i="21"/>
  <c r="R114" i="21"/>
  <c r="P114" i="21"/>
  <c r="N114" i="21"/>
  <c r="M114" i="21"/>
  <c r="L114" i="21"/>
  <c r="J114" i="21"/>
  <c r="H114" i="21"/>
  <c r="F114" i="21"/>
  <c r="E114" i="21"/>
  <c r="D114" i="21"/>
  <c r="Y110" i="21"/>
  <c r="X110" i="21"/>
  <c r="V110" i="21"/>
  <c r="U110" i="21"/>
  <c r="T110" i="21"/>
  <c r="S110" i="21"/>
  <c r="R110" i="21"/>
  <c r="Q110" i="21"/>
  <c r="P110" i="21"/>
  <c r="O110" i="21"/>
  <c r="N110" i="21"/>
  <c r="M110" i="21"/>
  <c r="L110" i="21"/>
  <c r="K110" i="21"/>
  <c r="J110" i="21"/>
  <c r="I110" i="21"/>
  <c r="H110" i="21"/>
  <c r="G110" i="21"/>
  <c r="F110" i="21"/>
  <c r="E110" i="21"/>
  <c r="D110" i="21"/>
  <c r="C110" i="21"/>
  <c r="Y109" i="21"/>
  <c r="X109" i="21"/>
  <c r="W109" i="21"/>
  <c r="V109" i="21"/>
  <c r="U109" i="21"/>
  <c r="T109" i="21"/>
  <c r="S109" i="21"/>
  <c r="R109" i="21"/>
  <c r="Q109" i="21"/>
  <c r="P109" i="21"/>
  <c r="O109" i="21"/>
  <c r="N109" i="21"/>
  <c r="M109" i="21"/>
  <c r="L109" i="21"/>
  <c r="K109" i="21"/>
  <c r="J109" i="21"/>
  <c r="AA109" i="21"/>
  <c r="AB109" i="21"/>
  <c r="I109" i="21"/>
  <c r="H109" i="21"/>
  <c r="G109" i="21"/>
  <c r="F109" i="21"/>
  <c r="E109" i="21"/>
  <c r="D109" i="21"/>
  <c r="C109" i="21"/>
  <c r="AI108" i="21"/>
  <c r="X108" i="21"/>
  <c r="V108" i="21"/>
  <c r="T108" i="21"/>
  <c r="R108" i="21"/>
  <c r="P108" i="21"/>
  <c r="N108" i="21"/>
  <c r="L108" i="21"/>
  <c r="J108" i="21"/>
  <c r="H108" i="21"/>
  <c r="F108" i="21"/>
  <c r="D108" i="21"/>
  <c r="AI107" i="21"/>
  <c r="AI112" i="21"/>
  <c r="Y107" i="21"/>
  <c r="X107" i="21"/>
  <c r="W107" i="21"/>
  <c r="V107" i="21"/>
  <c r="U107" i="21"/>
  <c r="T107" i="21"/>
  <c r="S107" i="21"/>
  <c r="R107" i="21"/>
  <c r="Q107" i="21"/>
  <c r="P107" i="21"/>
  <c r="O107" i="21"/>
  <c r="N107" i="21"/>
  <c r="M107" i="21"/>
  <c r="L107" i="21"/>
  <c r="K107" i="21"/>
  <c r="J107" i="21"/>
  <c r="I107" i="21"/>
  <c r="H107" i="21"/>
  <c r="G107" i="21"/>
  <c r="F107" i="21"/>
  <c r="E107" i="21"/>
  <c r="D107" i="21"/>
  <c r="C107" i="21"/>
  <c r="AA107" i="21"/>
  <c r="AB107" i="21"/>
  <c r="X106" i="21"/>
  <c r="W106" i="21"/>
  <c r="V106" i="21"/>
  <c r="U106" i="21"/>
  <c r="R106" i="21"/>
  <c r="P106" i="21"/>
  <c r="N106" i="21"/>
  <c r="L106" i="21"/>
  <c r="J106" i="21"/>
  <c r="H106" i="21"/>
  <c r="F106" i="21"/>
  <c r="D106" i="21"/>
  <c r="C106" i="21"/>
  <c r="Y103" i="21"/>
  <c r="W103" i="21"/>
  <c r="U103" i="21"/>
  <c r="S103" i="21"/>
  <c r="Q103" i="21"/>
  <c r="O103" i="21"/>
  <c r="M103" i="21"/>
  <c r="K103" i="21"/>
  <c r="I103" i="21"/>
  <c r="G103" i="21"/>
  <c r="E103" i="21"/>
  <c r="C103" i="21"/>
  <c r="AA103" i="21"/>
  <c r="Y102" i="21"/>
  <c r="W102" i="21"/>
  <c r="U102" i="21"/>
  <c r="S102" i="21"/>
  <c r="Q102" i="21"/>
  <c r="O102" i="21"/>
  <c r="M102" i="21"/>
  <c r="K102" i="21"/>
  <c r="I102" i="21"/>
  <c r="G102" i="21"/>
  <c r="E102" i="21"/>
  <c r="C102" i="21"/>
  <c r="AA102" i="21"/>
  <c r="M101" i="21"/>
  <c r="U100" i="21"/>
  <c r="S100" i="21"/>
  <c r="Q100" i="21"/>
  <c r="O100" i="21"/>
  <c r="M100" i="21"/>
  <c r="K100" i="21"/>
  <c r="I100" i="21"/>
  <c r="G100" i="21"/>
  <c r="E100" i="21"/>
  <c r="C100" i="21"/>
  <c r="Q99" i="21"/>
  <c r="AA89" i="21"/>
  <c r="AA88" i="21"/>
  <c r="AA87" i="21"/>
  <c r="AA86" i="21"/>
  <c r="AA85" i="21"/>
  <c r="AA76" i="21"/>
  <c r="AA75" i="21"/>
  <c r="AA74" i="21"/>
  <c r="AA73" i="21"/>
  <c r="AC68" i="21"/>
  <c r="AB68" i="21"/>
  <c r="Y68" i="21"/>
  <c r="Y114" i="21"/>
  <c r="W68" i="21"/>
  <c r="W101" i="21"/>
  <c r="U68" i="21"/>
  <c r="U101" i="21"/>
  <c r="S68" i="21"/>
  <c r="S101" i="21"/>
  <c r="Q68" i="21"/>
  <c r="Q114" i="21"/>
  <c r="O68" i="21"/>
  <c r="O114" i="21"/>
  <c r="M68" i="21"/>
  <c r="K68" i="21"/>
  <c r="K101" i="21"/>
  <c r="I68" i="21"/>
  <c r="I114" i="21"/>
  <c r="G68" i="21"/>
  <c r="G101" i="21"/>
  <c r="E68" i="21"/>
  <c r="E101" i="21"/>
  <c r="C68" i="21"/>
  <c r="C101" i="21"/>
  <c r="AA64" i="21"/>
  <c r="Y61" i="21"/>
  <c r="W61" i="21"/>
  <c r="U61" i="21"/>
  <c r="S61" i="21"/>
  <c r="Q61" i="21"/>
  <c r="O61" i="21"/>
  <c r="M61" i="21"/>
  <c r="K61" i="21"/>
  <c r="I61" i="21"/>
  <c r="G61" i="21"/>
  <c r="E61" i="21"/>
  <c r="C61" i="21"/>
  <c r="AA61" i="21"/>
  <c r="S60" i="21"/>
  <c r="AA59" i="21"/>
  <c r="Y59" i="21"/>
  <c r="Y60" i="21"/>
  <c r="W59" i="21"/>
  <c r="U59" i="21"/>
  <c r="S59" i="21"/>
  <c r="Q59" i="21"/>
  <c r="Q60" i="21"/>
  <c r="O59" i="21"/>
  <c r="O60" i="21"/>
  <c r="M59" i="21"/>
  <c r="M60" i="21"/>
  <c r="K59" i="21"/>
  <c r="K60" i="21"/>
  <c r="I59" i="21"/>
  <c r="I60" i="21"/>
  <c r="G59" i="21"/>
  <c r="E59" i="21"/>
  <c r="E60" i="21"/>
  <c r="C59" i="21"/>
  <c r="AC55" i="21"/>
  <c r="Y55" i="21"/>
  <c r="U55" i="21"/>
  <c r="S55" i="21"/>
  <c r="O55" i="21"/>
  <c r="M55" i="21"/>
  <c r="K55" i="21"/>
  <c r="J55" i="21"/>
  <c r="I55" i="21"/>
  <c r="G55" i="21"/>
  <c r="E55" i="21"/>
  <c r="Y54" i="21"/>
  <c r="W54" i="21"/>
  <c r="U54" i="21"/>
  <c r="S54" i="21"/>
  <c r="O54" i="21"/>
  <c r="M54" i="21"/>
  <c r="K54" i="21"/>
  <c r="I54" i="21"/>
  <c r="G54" i="21"/>
  <c r="E54" i="21"/>
  <c r="AA54" i="21"/>
  <c r="AB53" i="21"/>
  <c r="AB55" i="21"/>
  <c r="AA53" i="21"/>
  <c r="Y52" i="21"/>
  <c r="W52" i="21"/>
  <c r="U52" i="21"/>
  <c r="S52" i="21"/>
  <c r="AB51" i="21"/>
  <c r="W51" i="21"/>
  <c r="W110" i="21"/>
  <c r="S49" i="21"/>
  <c r="S39" i="21"/>
  <c r="C49" i="21"/>
  <c r="Y48" i="21"/>
  <c r="K48" i="21"/>
  <c r="AB47" i="21"/>
  <c r="AA47" i="21"/>
  <c r="AF47" i="21"/>
  <c r="O46" i="21"/>
  <c r="M46" i="21"/>
  <c r="C46" i="21"/>
  <c r="AB45" i="21"/>
  <c r="AA45" i="21"/>
  <c r="Y45" i="21"/>
  <c r="Y108" i="21"/>
  <c r="W45" i="21"/>
  <c r="W46" i="21"/>
  <c r="U45" i="21"/>
  <c r="U46" i="21"/>
  <c r="S45" i="21"/>
  <c r="S108" i="21"/>
  <c r="Q45" i="21"/>
  <c r="Q108" i="21"/>
  <c r="O45" i="21"/>
  <c r="O108" i="21"/>
  <c r="M45" i="21"/>
  <c r="M108" i="21"/>
  <c r="K45" i="21"/>
  <c r="K108" i="21"/>
  <c r="I45" i="21"/>
  <c r="I108" i="21"/>
  <c r="G45" i="21"/>
  <c r="G46" i="21"/>
  <c r="E45" i="21"/>
  <c r="E46" i="21"/>
  <c r="C45" i="21"/>
  <c r="C108" i="21"/>
  <c r="Y44" i="21"/>
  <c r="W44" i="21"/>
  <c r="U44" i="21"/>
  <c r="S44" i="21"/>
  <c r="Q44" i="21"/>
  <c r="E44" i="21"/>
  <c r="AB43" i="21"/>
  <c r="AA43" i="21"/>
  <c r="W42" i="21"/>
  <c r="U42" i="21"/>
  <c r="S42" i="21"/>
  <c r="K42" i="21"/>
  <c r="E42" i="21"/>
  <c r="C42" i="21"/>
  <c r="AB41" i="21"/>
  <c r="AB49" i="21"/>
  <c r="Y41" i="21"/>
  <c r="S41" i="21"/>
  <c r="S62" i="21"/>
  <c r="Q41" i="21"/>
  <c r="Q106" i="21"/>
  <c r="O41" i="21"/>
  <c r="O106" i="21"/>
  <c r="M41" i="21"/>
  <c r="M49" i="21"/>
  <c r="M39" i="21"/>
  <c r="K41" i="21"/>
  <c r="K99" i="21"/>
  <c r="K104" i="21"/>
  <c r="I41" i="21"/>
  <c r="I106" i="21"/>
  <c r="G41" i="21"/>
  <c r="E41" i="21"/>
  <c r="AA41" i="21"/>
  <c r="AC35" i="21"/>
  <c r="AB35" i="21"/>
  <c r="AA35" i="21"/>
  <c r="AA68" i="21"/>
  <c r="AB34" i="21"/>
  <c r="S34" i="21"/>
  <c r="O34" i="21"/>
  <c r="O52" i="21"/>
  <c r="M34" i="21"/>
  <c r="M52" i="21"/>
  <c r="AC33" i="21"/>
  <c r="AB33" i="21"/>
  <c r="AA33" i="21"/>
  <c r="AD32" i="21"/>
  <c r="O32" i="21"/>
  <c r="N32" i="21"/>
  <c r="M32" i="21"/>
  <c r="L32" i="21"/>
  <c r="K32" i="21"/>
  <c r="K34" i="21"/>
  <c r="K52" i="21"/>
  <c r="J32" i="21"/>
  <c r="I32" i="21"/>
  <c r="I34" i="21"/>
  <c r="I52" i="21"/>
  <c r="H32" i="21"/>
  <c r="AB32" i="21"/>
  <c r="G32" i="21"/>
  <c r="G34" i="21"/>
  <c r="G52" i="21"/>
  <c r="E32" i="21"/>
  <c r="E34" i="21"/>
  <c r="E52" i="21"/>
  <c r="C32" i="21"/>
  <c r="AA32" i="21"/>
  <c r="AB31" i="21"/>
  <c r="Y31" i="21"/>
  <c r="M31" i="21"/>
  <c r="M26" i="21"/>
  <c r="AC30" i="21"/>
  <c r="AC45" i="21"/>
  <c r="AB30" i="21"/>
  <c r="AB26" i="21"/>
  <c r="AA30" i="21"/>
  <c r="AB29" i="21"/>
  <c r="O29" i="21"/>
  <c r="O44" i="21"/>
  <c r="M29" i="21"/>
  <c r="M44" i="21"/>
  <c r="K29" i="21"/>
  <c r="K44" i="21"/>
  <c r="I29" i="21"/>
  <c r="I44" i="21"/>
  <c r="G29" i="21"/>
  <c r="E29" i="21"/>
  <c r="AA29" i="21"/>
  <c r="AC29" i="21"/>
  <c r="C29" i="21"/>
  <c r="C44" i="21"/>
  <c r="AC28" i="21"/>
  <c r="AC41" i="21"/>
  <c r="AB28" i="21"/>
  <c r="AA28" i="21"/>
  <c r="AB27" i="21"/>
  <c r="W27" i="21"/>
  <c r="W31" i="21"/>
  <c r="U27" i="21"/>
  <c r="U48" i="21"/>
  <c r="S27" i="21"/>
  <c r="S48" i="21"/>
  <c r="Q27" i="21"/>
  <c r="Q48" i="21"/>
  <c r="O27" i="21"/>
  <c r="O48" i="21"/>
  <c r="M27" i="21"/>
  <c r="M48" i="21"/>
  <c r="K27" i="21"/>
  <c r="K31" i="21"/>
  <c r="I27" i="21"/>
  <c r="I48" i="21"/>
  <c r="C27" i="21"/>
  <c r="C48" i="21"/>
  <c r="AC22" i="21"/>
  <c r="AB22" i="21"/>
  <c r="AA22" i="21"/>
  <c r="AD21" i="21"/>
  <c r="AC21" i="21"/>
  <c r="AE10" i="21"/>
  <c r="AB21" i="21"/>
  <c r="AA21" i="21"/>
  <c r="E19" i="21"/>
  <c r="O18" i="21"/>
  <c r="E18" i="21"/>
  <c r="AA17" i="21"/>
  <c r="O15" i="21"/>
  <c r="M15" i="21"/>
  <c r="K15" i="21"/>
  <c r="I15" i="21"/>
  <c r="G15" i="21"/>
  <c r="E15" i="21"/>
  <c r="O14" i="21"/>
  <c r="M14" i="21"/>
  <c r="K14" i="21"/>
  <c r="I14" i="21"/>
  <c r="G14" i="21"/>
  <c r="E14" i="21"/>
  <c r="AD12" i="21"/>
  <c r="C14" i="21"/>
  <c r="AA15" i="21"/>
  <c r="AB13" i="21"/>
  <c r="O13" i="21"/>
  <c r="O19" i="21"/>
  <c r="M13" i="21"/>
  <c r="K13" i="21"/>
  <c r="K18" i="21"/>
  <c r="K19" i="21"/>
  <c r="I13" i="21"/>
  <c r="G13" i="21"/>
  <c r="G18" i="21"/>
  <c r="E13" i="21"/>
  <c r="C13" i="21"/>
  <c r="C19" i="21"/>
  <c r="AA12" i="21"/>
  <c r="AA13" i="21"/>
  <c r="AC11" i="21"/>
  <c r="AB11" i="21"/>
  <c r="AA11" i="21"/>
  <c r="AF7" i="21"/>
  <c r="AC6" i="21"/>
  <c r="O6" i="21"/>
  <c r="M6" i="21"/>
  <c r="K6" i="21"/>
  <c r="I6" i="21"/>
  <c r="G6" i="21"/>
  <c r="E6" i="21"/>
  <c r="C6" i="21"/>
  <c r="AF3" i="21"/>
  <c r="AF2" i="21"/>
  <c r="M2" i="21"/>
  <c r="M1" i="21"/>
  <c r="AC43" i="21"/>
  <c r="AF14" i="21"/>
  <c r="AE21" i="21"/>
  <c r="AD16" i="21"/>
  <c r="AF16" i="21"/>
  <c r="Y62" i="21"/>
  <c r="AA49" i="21"/>
  <c r="AA39" i="21"/>
  <c r="K37" i="21"/>
  <c r="K26" i="21"/>
  <c r="G62" i="21"/>
  <c r="AB39" i="21"/>
  <c r="AD49" i="21"/>
  <c r="AA110" i="21"/>
  <c r="AB110" i="21"/>
  <c r="W62" i="21"/>
  <c r="AD41" i="21"/>
  <c r="AA52" i="21"/>
  <c r="I18" i="21"/>
  <c r="AA18" i="21"/>
  <c r="G19" i="21"/>
  <c r="E27" i="21"/>
  <c r="I31" i="21"/>
  <c r="I37" i="21"/>
  <c r="AC32" i="21"/>
  <c r="AC34" i="21"/>
  <c r="M37" i="21"/>
  <c r="O42" i="21"/>
  <c r="I46" i="21"/>
  <c r="Y46" i="21"/>
  <c r="W48" i="21"/>
  <c r="O49" i="21"/>
  <c r="O39" i="21"/>
  <c r="W55" i="21"/>
  <c r="K62" i="21"/>
  <c r="M99" i="21"/>
  <c r="M104" i="21"/>
  <c r="I101" i="21"/>
  <c r="Y101" i="21"/>
  <c r="C114" i="21"/>
  <c r="K114" i="21"/>
  <c r="S114" i="21"/>
  <c r="M18" i="21"/>
  <c r="M19" i="21"/>
  <c r="G27" i="21"/>
  <c r="G48" i="21"/>
  <c r="Q42" i="21"/>
  <c r="K46" i="21"/>
  <c r="Q49" i="21"/>
  <c r="M62" i="21"/>
  <c r="AA63" i="21"/>
  <c r="O99" i="21"/>
  <c r="K106" i="21"/>
  <c r="S106" i="21"/>
  <c r="E108" i="21"/>
  <c r="AA108" i="21"/>
  <c r="AB108" i="21"/>
  <c r="U108" i="21"/>
  <c r="U114" i="21"/>
  <c r="O31" i="21"/>
  <c r="G44" i="21"/>
  <c r="E49" i="21"/>
  <c r="E39" i="21"/>
  <c r="U49" i="21"/>
  <c r="U39" i="21"/>
  <c r="AA51" i="21"/>
  <c r="Y100" i="21"/>
  <c r="C60" i="21"/>
  <c r="C62" i="21"/>
  <c r="U60" i="21"/>
  <c r="U62" i="21"/>
  <c r="Q62" i="21"/>
  <c r="C99" i="21"/>
  <c r="S99" i="21"/>
  <c r="S104" i="21"/>
  <c r="O101" i="21"/>
  <c r="E106" i="21"/>
  <c r="AA106" i="21"/>
  <c r="AB106" i="21"/>
  <c r="M106" i="21"/>
  <c r="G108" i="21"/>
  <c r="W108" i="21"/>
  <c r="W114" i="21"/>
  <c r="AD37" i="21"/>
  <c r="O62" i="21"/>
  <c r="W100" i="21"/>
  <c r="AA100" i="21"/>
  <c r="S31" i="21"/>
  <c r="G42" i="21"/>
  <c r="Q46" i="21"/>
  <c r="G49" i="21"/>
  <c r="G39" i="21"/>
  <c r="W49" i="21"/>
  <c r="W39" i="21"/>
  <c r="W60" i="21"/>
  <c r="E99" i="21"/>
  <c r="E104" i="21"/>
  <c r="U99" i="21"/>
  <c r="U104" i="21"/>
  <c r="Q101" i="21"/>
  <c r="AA101" i="21"/>
  <c r="G114" i="21"/>
  <c r="AC12" i="21"/>
  <c r="AC13" i="21"/>
  <c r="C31" i="21"/>
  <c r="U31" i="21"/>
  <c r="C34" i="21"/>
  <c r="I42" i="21"/>
  <c r="Y42" i="21"/>
  <c r="AF44" i="21"/>
  <c r="S46" i="21"/>
  <c r="I49" i="21"/>
  <c r="I39" i="21"/>
  <c r="Y49" i="21"/>
  <c r="Y39" i="21"/>
  <c r="AA58" i="21"/>
  <c r="AD106" i="21"/>
  <c r="E62" i="21"/>
  <c r="G99" i="21"/>
  <c r="G104" i="21"/>
  <c r="W99" i="21"/>
  <c r="W104" i="21"/>
  <c r="G106" i="21"/>
  <c r="E31" i="21"/>
  <c r="K49" i="21"/>
  <c r="K39" i="21"/>
  <c r="AA60" i="21"/>
  <c r="I99" i="21"/>
  <c r="I104" i="21"/>
  <c r="Y99" i="21"/>
  <c r="Y106" i="21"/>
  <c r="M42" i="21"/>
  <c r="I62" i="21"/>
  <c r="AB111" i="21"/>
  <c r="AB112" i="21"/>
  <c r="AA62" i="21"/>
  <c r="Q104" i="21"/>
  <c r="G31" i="21"/>
  <c r="C37" i="21"/>
  <c r="AA31" i="21"/>
  <c r="I19" i="21"/>
  <c r="AD18" i="21"/>
  <c r="O104" i="21"/>
  <c r="E48" i="21"/>
  <c r="AA27" i="21"/>
  <c r="AC27" i="21"/>
  <c r="E26" i="21"/>
  <c r="E37" i="21"/>
  <c r="AD108" i="21"/>
  <c r="AF108" i="21"/>
  <c r="I26" i="21"/>
  <c r="Y104" i="21"/>
  <c r="C52" i="21"/>
  <c r="C55" i="21"/>
  <c r="AA34" i="21"/>
  <c r="AD55" i="21"/>
  <c r="AA99" i="21"/>
  <c r="AA104" i="21"/>
  <c r="C104" i="21"/>
  <c r="O26" i="21"/>
  <c r="O37" i="21"/>
  <c r="AA114" i="21"/>
  <c r="AD23" i="21"/>
  <c r="AE18" i="21"/>
  <c r="G37" i="21"/>
  <c r="G38" i="21"/>
  <c r="I38" i="21"/>
  <c r="K38" i="21"/>
  <c r="M38" i="21"/>
  <c r="O38" i="21"/>
  <c r="G26" i="21"/>
  <c r="AD14" i="21"/>
  <c r="AE14" i="21"/>
  <c r="AA26" i="21"/>
  <c r="AD107" i="21"/>
  <c r="AC31" i="21"/>
  <c r="AC26" i="21"/>
  <c r="AC47" i="21"/>
  <c r="AD47" i="21"/>
  <c r="AC49" i="21"/>
  <c r="AD109" i="21"/>
  <c r="AC39" i="21"/>
  <c r="AE107" i="21"/>
  <c r="AF107" i="21"/>
  <c r="AF109" i="21"/>
  <c r="N12" i="17"/>
  <c r="T21" i="6"/>
  <c r="O25" i="19"/>
  <c r="N25" i="19"/>
  <c r="O24" i="19"/>
  <c r="N24" i="19"/>
  <c r="F24" i="19"/>
  <c r="F23" i="19"/>
  <c r="L22" i="19"/>
  <c r="F22" i="19"/>
  <c r="L21" i="19"/>
  <c r="L20" i="19"/>
  <c r="L18" i="19"/>
  <c r="F9" i="19"/>
  <c r="G9" i="19"/>
  <c r="F8" i="19"/>
  <c r="E8" i="19"/>
  <c r="F7" i="19"/>
  <c r="G7" i="19"/>
  <c r="E7" i="19"/>
  <c r="E5" i="19"/>
  <c r="K4" i="19"/>
  <c r="K3" i="19"/>
  <c r="E3" i="19"/>
  <c r="R19" i="6"/>
  <c r="S19" i="6" s="1"/>
  <c r="E22" i="15"/>
  <c r="E21" i="15"/>
  <c r="E20" i="15"/>
  <c r="E23" i="15"/>
  <c r="B50" i="6"/>
  <c r="B66" i="6" s="1"/>
  <c r="G14" i="15"/>
  <c r="G16" i="15"/>
  <c r="E41" i="14"/>
  <c r="E40" i="14"/>
  <c r="E31" i="14"/>
  <c r="E30" i="14"/>
  <c r="E22" i="14"/>
  <c r="E21" i="14"/>
  <c r="E20" i="14"/>
  <c r="E14" i="14"/>
  <c r="E12" i="14"/>
  <c r="E10" i="14"/>
  <c r="D43" i="14"/>
  <c r="E43" i="14"/>
  <c r="C33" i="14"/>
  <c r="C23" i="14"/>
  <c r="D23" i="14"/>
  <c r="D17" i="14"/>
  <c r="C17" i="14"/>
  <c r="E29" i="13"/>
  <c r="E27" i="13"/>
  <c r="E26" i="13"/>
  <c r="E25" i="13"/>
  <c r="K38" i="13"/>
  <c r="K37" i="13"/>
  <c r="K36" i="13"/>
  <c r="K35" i="13"/>
  <c r="K31" i="13"/>
  <c r="K30" i="13"/>
  <c r="K29" i="13"/>
  <c r="K28" i="13"/>
  <c r="K27" i="13"/>
  <c r="K22" i="13"/>
  <c r="K21" i="13"/>
  <c r="K20" i="13"/>
  <c r="K19" i="13"/>
  <c r="K18" i="13"/>
  <c r="K17" i="13"/>
  <c r="K15" i="13"/>
  <c r="E20" i="13"/>
  <c r="E19" i="13"/>
  <c r="E18" i="13"/>
  <c r="E17" i="13"/>
  <c r="E16" i="13"/>
  <c r="J39" i="13"/>
  <c r="I39" i="13"/>
  <c r="I32" i="13"/>
  <c r="E28" i="13"/>
  <c r="I24" i="13"/>
  <c r="K23" i="13"/>
  <c r="J24" i="13"/>
  <c r="E21" i="13"/>
  <c r="K16" i="13"/>
  <c r="D33" i="14"/>
  <c r="J32" i="13"/>
  <c r="C30" i="13"/>
  <c r="E30" i="13"/>
  <c r="D42" i="13"/>
  <c r="C15" i="15"/>
  <c r="C14" i="15"/>
  <c r="F14" i="15"/>
  <c r="E15" i="15"/>
  <c r="E14" i="15"/>
  <c r="F10" i="15"/>
  <c r="K16" i="15"/>
  <c r="K22" i="15"/>
  <c r="K21" i="15"/>
  <c r="K20" i="15"/>
  <c r="K19" i="15"/>
  <c r="K18" i="15"/>
  <c r="K17" i="15"/>
  <c r="K15" i="15"/>
  <c r="J16" i="15"/>
  <c r="D14" i="15"/>
  <c r="B67" i="6"/>
  <c r="C67" i="6"/>
  <c r="D67" i="6"/>
  <c r="G67" i="6"/>
  <c r="C11" i="15"/>
  <c r="D11" i="15"/>
  <c r="C9" i="15"/>
  <c r="C8" i="15"/>
  <c r="C6" i="15"/>
  <c r="C5" i="15"/>
  <c r="C4" i="15"/>
  <c r="C50" i="6"/>
  <c r="C66" i="6" s="1"/>
  <c r="C10" i="15"/>
  <c r="J8" i="15"/>
  <c r="E63" i="6"/>
  <c r="E67" i="6"/>
  <c r="E5" i="15"/>
  <c r="F5" i="15"/>
  <c r="E9" i="15"/>
  <c r="F9" i="15"/>
  <c r="E8" i="15"/>
  <c r="E7" i="15"/>
  <c r="F7" i="15"/>
  <c r="J4" i="15"/>
  <c r="E4" i="15"/>
  <c r="J3" i="15"/>
  <c r="D4" i="15"/>
  <c r="D5" i="15"/>
  <c r="D6" i="15"/>
  <c r="D7" i="15"/>
  <c r="D8" i="15"/>
  <c r="D9" i="15"/>
  <c r="D3" i="15"/>
  <c r="E3" i="15"/>
  <c r="F3" i="15"/>
  <c r="E6" i="15"/>
  <c r="F6" i="15"/>
  <c r="V21" i="6"/>
  <c r="V20" i="6"/>
  <c r="D50" i="6"/>
  <c r="B25" i="6"/>
  <c r="D63" i="6"/>
  <c r="B63" i="6"/>
  <c r="C63" i="6"/>
  <c r="N24" i="15"/>
  <c r="N23" i="15"/>
  <c r="M23" i="15"/>
  <c r="O23" i="15"/>
  <c r="M24" i="15"/>
  <c r="O24" i="15"/>
  <c r="D15" i="15"/>
  <c r="F15" i="15"/>
  <c r="F8" i="15"/>
  <c r="E10" i="15"/>
  <c r="F4" i="15"/>
  <c r="H67" i="6"/>
  <c r="E33" i="14"/>
  <c r="C26" i="14"/>
  <c r="C37" i="14"/>
  <c r="E23" i="14"/>
  <c r="E17" i="14"/>
  <c r="D26" i="14"/>
  <c r="E26" i="14"/>
  <c r="D37" i="14"/>
  <c r="K32" i="13"/>
  <c r="J42" i="13"/>
  <c r="K24" i="13"/>
  <c r="C42" i="13"/>
  <c r="I42" i="13"/>
  <c r="E42" i="13"/>
  <c r="K39" i="13"/>
  <c r="E22" i="13"/>
  <c r="L16" i="19"/>
  <c r="O21" i="17"/>
  <c r="L17" i="19"/>
  <c r="F16" i="19"/>
  <c r="K8" i="19"/>
  <c r="E9" i="19"/>
  <c r="F25" i="19"/>
  <c r="G21" i="19"/>
  <c r="E12" i="19"/>
  <c r="E4" i="19"/>
  <c r="D16" i="19"/>
  <c r="E24" i="15"/>
  <c r="F23" i="15"/>
  <c r="E6" i="19"/>
  <c r="F6" i="19"/>
  <c r="F11" i="19"/>
  <c r="L19" i="19"/>
  <c r="G11" i="19"/>
  <c r="G12" i="19"/>
  <c r="G6" i="19"/>
  <c r="E37" i="14"/>
  <c r="D46" i="14"/>
  <c r="K42" i="13"/>
  <c r="G3" i="19"/>
  <c r="F15" i="19"/>
  <c r="G15" i="19"/>
  <c r="G16" i="19"/>
  <c r="L23" i="19"/>
  <c r="E15" i="19"/>
  <c r="E16" i="19"/>
  <c r="F21" i="15"/>
  <c r="F22" i="15"/>
  <c r="E25" i="15"/>
  <c r="E26" i="15"/>
  <c r="F24" i="15"/>
  <c r="F20" i="15"/>
  <c r="F26" i="19"/>
  <c r="G24" i="19"/>
  <c r="G25" i="19"/>
  <c r="G23" i="19"/>
  <c r="G22" i="19"/>
  <c r="R23" i="6"/>
  <c r="H17" i="19"/>
  <c r="H15" i="19"/>
  <c r="Y29" i="6"/>
  <c r="H63" i="6"/>
  <c r="Y33" i="6" l="1"/>
  <c r="P33" i="6"/>
  <c r="P36" i="6" s="1"/>
  <c r="P41" i="6" s="1"/>
  <c r="P43" i="6" s="1"/>
  <c r="P49" i="6" s="1"/>
  <c r="Q33" i="6"/>
  <c r="Q36" i="6" s="1"/>
  <c r="Q41" i="6" s="1"/>
  <c r="Q43" i="6" s="1"/>
  <c r="Q49" i="6" s="1"/>
  <c r="S20" i="6"/>
  <c r="R29" i="6"/>
  <c r="N21" i="17"/>
  <c r="B64" i="6"/>
  <c r="Y41" i="6"/>
  <c r="Y36" i="6"/>
  <c r="R55" i="6"/>
  <c r="R67" i="6" s="1"/>
  <c r="P67" i="6"/>
  <c r="Q67" i="6"/>
  <c r="K67" i="6"/>
  <c r="C65" i="6"/>
  <c r="P25" i="6"/>
  <c r="C64" i="6"/>
  <c r="D65" i="6"/>
  <c r="D66" i="6"/>
  <c r="E50" i="6"/>
  <c r="E64" i="6" s="1"/>
  <c r="D64" i="6"/>
  <c r="B65" i="6"/>
  <c r="Q25" i="6"/>
  <c r="R31" i="6"/>
  <c r="O6" i="17"/>
  <c r="O5" i="17"/>
  <c r="S22" i="6"/>
  <c r="N49" i="26"/>
  <c r="N13" i="26"/>
  <c r="P19" i="26"/>
  <c r="D13" i="26"/>
  <c r="D49" i="26"/>
  <c r="O49" i="26" s="1"/>
  <c r="I49" i="26"/>
  <c r="I13" i="26"/>
  <c r="K49" i="26"/>
  <c r="P49" i="26" s="1"/>
  <c r="K13" i="26"/>
  <c r="Q19" i="26"/>
  <c r="L49" i="26"/>
  <c r="L13" i="26"/>
  <c r="G13" i="26"/>
  <c r="G49" i="26"/>
  <c r="M49" i="26"/>
  <c r="M13" i="26"/>
  <c r="R40" i="26"/>
  <c r="C13" i="26"/>
  <c r="R32" i="6"/>
  <c r="P50" i="6" l="1"/>
  <c r="P66" i="6" s="1"/>
  <c r="F50" i="6"/>
  <c r="S29" i="6"/>
  <c r="R33" i="6"/>
  <c r="Y49" i="6"/>
  <c r="H50" i="6"/>
  <c r="Q50" i="6"/>
  <c r="Q57" i="6" s="1"/>
  <c r="Q60" i="6" s="1"/>
  <c r="Q62" i="6" s="1"/>
  <c r="Y43" i="6"/>
  <c r="E66" i="6"/>
  <c r="E65" i="6"/>
  <c r="E46" i="14"/>
  <c r="C49" i="14"/>
  <c r="E49" i="14" s="1"/>
  <c r="G63" i="6"/>
  <c r="G50" i="6"/>
  <c r="S23" i="6"/>
  <c r="S32" i="6" s="1"/>
  <c r="N10" i="17"/>
  <c r="N20" i="17"/>
  <c r="Q49" i="26"/>
  <c r="Q13" i="26"/>
  <c r="O13" i="26"/>
  <c r="P13" i="26"/>
  <c r="P57" i="6" l="1"/>
  <c r="P60" i="6" s="1"/>
  <c r="P62" i="6" s="1"/>
  <c r="P64" i="6" s="1"/>
  <c r="H66" i="6"/>
  <c r="S33" i="6"/>
  <c r="Q66" i="6"/>
  <c r="H64" i="6"/>
  <c r="H65" i="6"/>
  <c r="Q64" i="6"/>
  <c r="Q65" i="6"/>
  <c r="G64" i="6"/>
  <c r="G66" i="6"/>
  <c r="G65" i="6"/>
  <c r="N17" i="17"/>
  <c r="P65" i="6" l="1"/>
  <c r="R24" i="6" l="1"/>
  <c r="I50" i="6" l="1"/>
  <c r="S24" i="6"/>
  <c r="R25" i="6"/>
  <c r="R34" i="6"/>
  <c r="R36" i="6" s="1"/>
  <c r="R41" i="6" s="1"/>
  <c r="I66" i="6" l="1"/>
  <c r="S34" i="6"/>
  <c r="S36" i="6" s="1"/>
  <c r="S41" i="6" s="1"/>
  <c r="S25" i="6"/>
  <c r="J50" i="6"/>
  <c r="R43" i="6"/>
  <c r="R50" i="6"/>
  <c r="N18" i="17"/>
  <c r="J66" i="6" l="1"/>
  <c r="S43" i="6"/>
  <c r="S50" i="6"/>
  <c r="K50" i="6"/>
  <c r="K66" i="6" s="1"/>
  <c r="R44" i="6"/>
  <c r="R56" i="6" s="1"/>
  <c r="R57" i="6" s="1"/>
  <c r="R60" i="6" s="1"/>
  <c r="N19" i="17"/>
  <c r="R66" i="6"/>
  <c r="R49" i="6" l="1"/>
  <c r="R62" i="6"/>
  <c r="I64" i="6"/>
  <c r="I65" i="6"/>
  <c r="I63" i="6"/>
  <c r="L50" i="6"/>
  <c r="L66" i="6" s="1"/>
  <c r="S44" i="6"/>
  <c r="S56" i="6" s="1"/>
  <c r="S57" i="6" s="1"/>
  <c r="S60" i="6" s="1"/>
  <c r="S62" i="6" s="1"/>
  <c r="S66" i="6"/>
  <c r="S49" i="6" l="1"/>
  <c r="R64" i="6"/>
  <c r="R63" i="6"/>
  <c r="R65" i="6"/>
  <c r="N50" i="6"/>
  <c r="N66" i="6" s="1"/>
  <c r="S65" i="6"/>
  <c r="S64" i="6"/>
  <c r="S63" i="6"/>
  <c r="M50" i="6"/>
  <c r="M66" i="6" s="1"/>
  <c r="O50" i="6" l="1"/>
  <c r="O66" i="6" s="1"/>
  <c r="J63" i="6" l="1"/>
  <c r="J64" i="6"/>
  <c r="J65" i="6"/>
  <c r="K63" i="6" l="1"/>
  <c r="K65" i="6"/>
  <c r="K64" i="6"/>
  <c r="L63" i="6" l="1"/>
  <c r="L64" i="6"/>
  <c r="L65" i="6"/>
  <c r="M63" i="6" l="1"/>
  <c r="M64" i="6"/>
  <c r="M65" i="6"/>
  <c r="N65" i="6" l="1"/>
  <c r="N64" i="6"/>
  <c r="N63" i="6"/>
  <c r="O65" i="6" l="1"/>
  <c r="O64" i="6"/>
  <c r="O6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guilherme bastos colaco dias filho</author>
    <author>Thiago Araujo Santana</author>
    <author>Guilherme Bastos Colaço Dias Filho</author>
  </authors>
  <commentList>
    <comment ref="I25" authorId="0" shapeId="0" xr:uid="{CB86BA0C-3A2C-486B-B674-24402A7D4EC2}">
      <text>
        <r>
          <rPr>
            <b/>
            <sz val="9"/>
            <color indexed="81"/>
            <rFont val="Segoe UI"/>
            <family val="2"/>
          </rPr>
          <t xml:space="preserve">Apesar de Telas Futuras estarem muito acima do patamar indicado no preço bruto, optamos por trabalhar com uma normalização de Margens. Acreditamos que o Brasil sendo o grande formador de preço, tende a equalizar suas margens pelo custos de produção.
</t>
        </r>
      </text>
    </comment>
    <comment ref="F44" authorId="0" shapeId="0" xr:uid="{675AFE68-2592-492C-85C0-A67942495E85}">
      <text>
        <r>
          <rPr>
            <b/>
            <sz val="9"/>
            <color indexed="81"/>
            <rFont val="Segoe UI"/>
            <family val="2"/>
          </rPr>
          <t>100% Diferido</t>
        </r>
      </text>
    </comment>
    <comment ref="G44" authorId="0" shapeId="0" xr:uid="{04A8E777-6D54-46C0-935E-049C59BD106D}">
      <text>
        <r>
          <rPr>
            <b/>
            <sz val="9"/>
            <color indexed="81"/>
            <rFont val="Segoe UI"/>
            <family val="2"/>
          </rPr>
          <t>100% Diferido, Forte efeito do Biologico</t>
        </r>
      </text>
    </comment>
    <comment ref="A48" authorId="1" shapeId="0" xr:uid="{BC41635A-3877-4217-BB0A-40FA70C07433}">
      <text>
        <r>
          <rPr>
            <b/>
            <sz val="9"/>
            <color indexed="81"/>
            <rFont val="Segoe UI"/>
            <family val="2"/>
          </rPr>
          <t>Thiago Araujo Santana:</t>
        </r>
        <r>
          <rPr>
            <sz val="9"/>
            <color indexed="81"/>
            <rFont val="Segoe UI"/>
            <family val="2"/>
          </rPr>
          <t xml:space="preserve">
Contas: 
41306094 - Prov. Causas Trabalhistas
41306095 - Prov. p/ Estoques Obsoletos
41306096 - Provisão p/ Perdas de Devedores</t>
        </r>
      </text>
    </comment>
    <comment ref="F60" authorId="0" shapeId="0" xr:uid="{C02FBCA9-1CB2-4BE4-AA4F-252B013EF042}">
      <text>
        <r>
          <rPr>
            <b/>
            <sz val="9"/>
            <color indexed="81"/>
            <rFont val="Segoe UI"/>
            <family val="2"/>
          </rPr>
          <t>Contas de estoque e a receber aumentaram em 67mm.</t>
        </r>
      </text>
    </comment>
    <comment ref="B62" authorId="2" shapeId="0" xr:uid="{25D541AD-566D-48C7-AD35-A0BB29A5BE32}">
      <text>
        <r>
          <rPr>
            <sz val="9"/>
            <color indexed="81"/>
            <rFont val="Segoe UI"/>
            <family val="2"/>
          </rPr>
          <t xml:space="preserve">Investimento em Estoque de Açúcar para entressafra
</t>
        </r>
      </text>
    </comment>
    <comment ref="C62" authorId="2" shapeId="0" xr:uid="{119D3729-9ADB-4898-B1E9-28558FDF6EBF}">
      <text>
        <r>
          <rPr>
            <b/>
            <sz val="9"/>
            <color indexed="81"/>
            <rFont val="Segoe UI"/>
            <family val="2"/>
          </rPr>
          <t>Investimento em tecnologia de irrigação por gotejamento;</t>
        </r>
      </text>
    </comment>
  </commentList>
</comments>
</file>

<file path=xl/sharedStrings.xml><?xml version="1.0" encoding="utf-8"?>
<sst xmlns="http://schemas.openxmlformats.org/spreadsheetml/2006/main" count="783" uniqueCount="364">
  <si>
    <t>Saldo</t>
  </si>
  <si>
    <t>Moagem</t>
  </si>
  <si>
    <t>Produção em ATR em t</t>
  </si>
  <si>
    <t>ATR Vendida</t>
  </si>
  <si>
    <t>Receita Liquida por t Atr</t>
  </si>
  <si>
    <t>Margem PLxC</t>
  </si>
  <si>
    <t>Faturamento Bruto Produto Atr</t>
  </si>
  <si>
    <t>Outros Produtos</t>
  </si>
  <si>
    <t>Impostos</t>
  </si>
  <si>
    <t>Faturamento Liquido</t>
  </si>
  <si>
    <t>Custo do Produto</t>
  </si>
  <si>
    <t>Lucro Bruto</t>
  </si>
  <si>
    <t>Despesas Gerais</t>
  </si>
  <si>
    <t>Lucro Operacional</t>
  </si>
  <si>
    <t>LAIR</t>
  </si>
  <si>
    <t>Lucro Liquido</t>
  </si>
  <si>
    <t>EBITDA</t>
  </si>
  <si>
    <t>Juros</t>
  </si>
  <si>
    <t>Dividendos Pagos</t>
  </si>
  <si>
    <t>Pagamento Parcelamento Fiscal</t>
  </si>
  <si>
    <t>Operacional</t>
  </si>
  <si>
    <t>Informamos que esta planilha visa fornecer informações para nossos parceiros comerciais e financeiros, porém ela se baseia em projeções que podem sofrer variaçoes, macroeconomicas, mercadologicas, climaticas, regulatoria, dentre outras possiveis fatores de risco,
Agrovale.</t>
  </si>
  <si>
    <t>SULCO</t>
  </si>
  <si>
    <t>POLITUBO</t>
  </si>
  <si>
    <t>GOTEJO</t>
  </si>
  <si>
    <t>PIVO LINEAR</t>
  </si>
  <si>
    <t>ÁREA CULTIVADA TOTAL</t>
  </si>
  <si>
    <t>ÁREA CULTIVADA</t>
  </si>
  <si>
    <t>Área Cortada</t>
  </si>
  <si>
    <t>Produtividade Média</t>
  </si>
  <si>
    <t>Receita B.  por t Atr</t>
  </si>
  <si>
    <t>Resultado Financeiro</t>
  </si>
  <si>
    <t>Capex</t>
  </si>
  <si>
    <t>Geração de caixa Livre</t>
  </si>
  <si>
    <t xml:space="preserve">Custo por ATR t </t>
  </si>
  <si>
    <t>Dívida Líquida  Inicial</t>
  </si>
  <si>
    <t>Potencial Dívida Líquida Final</t>
  </si>
  <si>
    <t>Dívida L./tonelada de cana esmagado no ano</t>
  </si>
  <si>
    <t>Divida liquida/Ebitda</t>
  </si>
  <si>
    <t>Divida liquida/Ebitda menos tratos</t>
  </si>
  <si>
    <t>Expurgando Variação Teórica do Ativo B.</t>
  </si>
  <si>
    <t>*Depreciação Amortização</t>
  </si>
  <si>
    <t xml:space="preserve">PIVO </t>
  </si>
  <si>
    <t>Formaçao de Ativo Biologico</t>
  </si>
  <si>
    <t>Capex Total</t>
  </si>
  <si>
    <t>Índices de Conv. Para Atr-Consecana</t>
  </si>
  <si>
    <t>Açúcar Saco 50kg</t>
  </si>
  <si>
    <t>Açúcar Fardo 30kg</t>
  </si>
  <si>
    <t>Atr</t>
  </si>
  <si>
    <t>Açúcar Kg</t>
  </si>
  <si>
    <t>Álcool Anidro</t>
  </si>
  <si>
    <t>Álcool Hidratado</t>
  </si>
  <si>
    <t>TOTAL</t>
  </si>
  <si>
    <t>FLUXO ANUAL PAGAMENTO ENDIVIDAMENTO BANCÁRIO (PRINCIPAL)</t>
  </si>
  <si>
    <t>BNB S/A</t>
  </si>
  <si>
    <t>BRADESCO</t>
  </si>
  <si>
    <t>ITAÚ</t>
  </si>
  <si>
    <t>SAFRA</t>
  </si>
  <si>
    <t>JOHN DEERE</t>
  </si>
  <si>
    <t>BANCO SANTANDER</t>
  </si>
  <si>
    <t>BANCO MERCEDES</t>
  </si>
  <si>
    <t>CEF</t>
  </si>
  <si>
    <t>BANCO ABC BRASIL</t>
  </si>
  <si>
    <t>BBM BOCOM</t>
  </si>
  <si>
    <t>BANCO DAYCOVAL</t>
  </si>
  <si>
    <t>BANCO DLL</t>
  </si>
  <si>
    <t>ECO SECURITIZADORA</t>
  </si>
  <si>
    <t>TOTAL GERAL</t>
  </si>
  <si>
    <t>Preço</t>
  </si>
  <si>
    <t>Quantidade</t>
  </si>
  <si>
    <t>Anidro</t>
  </si>
  <si>
    <t>Hidratado</t>
  </si>
  <si>
    <t>Açucar</t>
  </si>
  <si>
    <t>Etanol</t>
  </si>
  <si>
    <t xml:space="preserve">Faturamento </t>
  </si>
  <si>
    <t>Faturamento</t>
  </si>
  <si>
    <t>Preço Atr</t>
  </si>
  <si>
    <t>50kg</t>
  </si>
  <si>
    <t>30kg</t>
  </si>
  <si>
    <t>1 kg</t>
  </si>
  <si>
    <t>Demerara 30KG</t>
  </si>
  <si>
    <t>1 kg demerara</t>
  </si>
  <si>
    <t>Distribuição</t>
  </si>
  <si>
    <t>Preço Atr/t</t>
  </si>
  <si>
    <t>Quantidade de Atr Vendido t</t>
  </si>
  <si>
    <t>BANCO ALFA</t>
  </si>
  <si>
    <t>2ª EMISSÃO DEBÊNTURES</t>
  </si>
  <si>
    <t>Açúcar</t>
  </si>
  <si>
    <t>Produção</t>
  </si>
  <si>
    <t>Total Produzido</t>
  </si>
  <si>
    <t>Etanol no mel</t>
  </si>
  <si>
    <t>Mel</t>
  </si>
  <si>
    <t>Atr/ton.de cana</t>
  </si>
  <si>
    <t>tonelada de açucar</t>
  </si>
  <si>
    <t>custo atr</t>
  </si>
  <si>
    <t>Cristal 50kg</t>
  </si>
  <si>
    <t>Crsital Fardo</t>
  </si>
  <si>
    <t>Cristal Granel</t>
  </si>
  <si>
    <t>Demerara Fardo</t>
  </si>
  <si>
    <t>Demerara Granel</t>
  </si>
  <si>
    <t>Mercado Externo</t>
  </si>
  <si>
    <t>Premio</t>
  </si>
  <si>
    <t xml:space="preserve">Impostos </t>
  </si>
  <si>
    <t>Preço Bruto Nacional</t>
  </si>
  <si>
    <t>atr vendida</t>
  </si>
  <si>
    <t>custo atr vendido</t>
  </si>
  <si>
    <t xml:space="preserve">IR e CSLL </t>
  </si>
  <si>
    <t>IR e CSLL Pagos</t>
  </si>
  <si>
    <t>Fat. Total</t>
  </si>
  <si>
    <t>Custo atr t</t>
  </si>
  <si>
    <t>Premio Marca Propia</t>
  </si>
  <si>
    <t>Preço Bruto Final</t>
  </si>
  <si>
    <t>Margem Ebtida</t>
  </si>
  <si>
    <t>%</t>
  </si>
  <si>
    <t>Total</t>
  </si>
  <si>
    <t>Comercial</t>
  </si>
  <si>
    <t xml:space="preserve">Financeiro-Contabil </t>
  </si>
  <si>
    <t>Variações sobre avaliaçao a Preço Justo Expurgado</t>
  </si>
  <si>
    <t>* Amortizaçao Investimentos em Tratos Culturais</t>
  </si>
  <si>
    <t xml:space="preserve"> - </t>
  </si>
  <si>
    <t xml:space="preserve">- </t>
  </si>
  <si>
    <t>Preço Bruto Final Atr ton.</t>
  </si>
  <si>
    <t>Estoques Produto Acabado 31/12/2022</t>
  </si>
  <si>
    <t>Atr-Produzido</t>
  </si>
  <si>
    <t>Produto</t>
  </si>
  <si>
    <t>Em Atr</t>
  </si>
  <si>
    <t>Total Em Atr KG</t>
  </si>
  <si>
    <t>AGRO INDÚSTRIAS DO VALE DO SÃO FRANCISCO S.A. - AGROVALE</t>
  </si>
  <si>
    <t>(Valores expressos em milhares de reais - R$)</t>
  </si>
  <si>
    <t>ATIVOS</t>
  </si>
  <si>
    <t>PASSIVOS E PATRIMÔNIO LÍQUIDO</t>
  </si>
  <si>
    <t>CIRCULANTE</t>
  </si>
  <si>
    <t>Caixa e equivalentes de caixa</t>
  </si>
  <si>
    <t>Fornecedores</t>
  </si>
  <si>
    <t>Aplicações Financeiras</t>
  </si>
  <si>
    <t>Empréstimos, financiamentos e Debêntures</t>
  </si>
  <si>
    <t>Contas a receber de clientes</t>
  </si>
  <si>
    <t>Instrumentos Financeiros - Derivativos</t>
  </si>
  <si>
    <t>Estoques</t>
  </si>
  <si>
    <t>Obrigações sociais</t>
  </si>
  <si>
    <t>Ativo biológico</t>
  </si>
  <si>
    <t>Obrigações tributárias</t>
  </si>
  <si>
    <t>Tributos a recuperar</t>
  </si>
  <si>
    <t>Parcelamentos fiscais</t>
  </si>
  <si>
    <t>Outros créditos</t>
  </si>
  <si>
    <t>Adiantamento de clientes</t>
  </si>
  <si>
    <t>Total dos ativos circulantes</t>
  </si>
  <si>
    <t>Dividendos a pagar</t>
  </si>
  <si>
    <t>Outras contas a pagar</t>
  </si>
  <si>
    <t>NÃO CIRCULANTE</t>
  </si>
  <si>
    <t>Total dos passivos circulantes</t>
  </si>
  <si>
    <t>Aplicações financeiras</t>
  </si>
  <si>
    <t>Depósitos judiciais</t>
  </si>
  <si>
    <t>Partes relacionadas</t>
  </si>
  <si>
    <t>Empréstimos e financiamentos</t>
  </si>
  <si>
    <t>Imobilizado</t>
  </si>
  <si>
    <t>Total dos ativos não circulantes</t>
  </si>
  <si>
    <t>Tributos diferidos</t>
  </si>
  <si>
    <t>Provisão para riscos fiscais e trabalhistas</t>
  </si>
  <si>
    <t>Total dos passivos não circulantes</t>
  </si>
  <si>
    <t xml:space="preserve">PATRIMÔNIO LÍQUIDO </t>
  </si>
  <si>
    <t>Capital social</t>
  </si>
  <si>
    <t>Reservas de capital</t>
  </si>
  <si>
    <t>Reservas de reavaliação</t>
  </si>
  <si>
    <t>Reservas de lucros</t>
  </si>
  <si>
    <t>Total do patrimônio líquido</t>
  </si>
  <si>
    <t>TOTAL DOS ATIVOS</t>
  </si>
  <si>
    <t>TOTAL DOS PASSIVOS E DO PATRIMÔNIO LÍQUIDO</t>
  </si>
  <si>
    <t>DEMONSTRAÇÃO DO RESULTADO</t>
  </si>
  <si>
    <t>(Valores expressos em milhares de reais - R$, exceto o lucro básico e diluído por ação - em reais)</t>
  </si>
  <si>
    <t>OPERAÇÕES CONTINUADAS</t>
  </si>
  <si>
    <t>RECEITA LÍQUIDA</t>
  </si>
  <si>
    <t>Variação do valor justo dos ativos biológicos</t>
  </si>
  <si>
    <t>CUSTO DOS PRODUTOS VENDIDOS</t>
  </si>
  <si>
    <t>LUCRO BRUTO</t>
  </si>
  <si>
    <t>RECEITAS (DESPESAS) OPERACIONAIS</t>
  </si>
  <si>
    <t>Despesas gerais e administrativas</t>
  </si>
  <si>
    <t>Despesas comerciais</t>
  </si>
  <si>
    <t>Outras receitas (despesas) operacionais,  líquidas</t>
  </si>
  <si>
    <t>LUCRO OPERACIONAL ANTES DO RESULTADO FINANCEIRO</t>
  </si>
  <si>
    <t>RESULTADO FINANCEIRO</t>
  </si>
  <si>
    <t>Receitas financeiras</t>
  </si>
  <si>
    <t>Despesas financeiras</t>
  </si>
  <si>
    <t>Derivativos</t>
  </si>
  <si>
    <t>LUCRO ANTES DO IMPOSTO DE RENDA</t>
  </si>
  <si>
    <t>E DA CONTRIBUIÇÃO SOCIAL</t>
  </si>
  <si>
    <t>Imposto de renda e contribuição social - correntes</t>
  </si>
  <si>
    <t>Imposto de renda e contribuição social - diferidos</t>
  </si>
  <si>
    <t>Incentivos fiscais</t>
  </si>
  <si>
    <t>LUCRO LÍQUIDO  DO EXERCÍCIO</t>
  </si>
  <si>
    <t>LUCRO  POR AÇÃO BÁSICO E DILUÍDO- R$</t>
  </si>
  <si>
    <t>Diferença de Precificação</t>
  </si>
  <si>
    <t>Art/t Sonda</t>
  </si>
  <si>
    <t>Art consecana</t>
  </si>
  <si>
    <t>Art/t Esteira</t>
  </si>
  <si>
    <t>preço Etanol em art</t>
  </si>
  <si>
    <t>Preço Esperado Etanol m3</t>
  </si>
  <si>
    <t>Mix de Faturamento</t>
  </si>
  <si>
    <t xml:space="preserve">Açúcar </t>
  </si>
  <si>
    <t>Preço Final</t>
  </si>
  <si>
    <t>Lucro Esperado</t>
  </si>
  <si>
    <t>FL Caixa Livre</t>
  </si>
  <si>
    <t>ANO SAFRA</t>
  </si>
  <si>
    <t>Preço Eq. MI saca</t>
  </si>
  <si>
    <t>Anidro (l)</t>
  </si>
  <si>
    <t>Açúcar (SC)</t>
  </si>
  <si>
    <t>Hidratado (I)</t>
  </si>
  <si>
    <t>Atr/ton.de cana (produto)</t>
  </si>
  <si>
    <t>Atr PCTS</t>
  </si>
  <si>
    <t>Atr Esteira</t>
  </si>
  <si>
    <t>Moagem (Ton Cana)</t>
  </si>
  <si>
    <t>Perda Industrias KG - ATR Produto</t>
  </si>
  <si>
    <t>Perda Industrias % - ATR Produto</t>
  </si>
  <si>
    <t>ATR/t - Produto</t>
  </si>
  <si>
    <t>ART</t>
  </si>
  <si>
    <t>ESTIMATIVA DA PRODUÇÃO  E  COMERCIALIZAÇÃO  SF 2023</t>
  </si>
  <si>
    <t>PLAN 05</t>
  </si>
  <si>
    <t>Planejado</t>
  </si>
  <si>
    <t>Realizado</t>
  </si>
  <si>
    <t>AÇÚCAR / ÁLCOOL</t>
  </si>
  <si>
    <t>Efart pov%</t>
  </si>
  <si>
    <t>Média Pcc</t>
  </si>
  <si>
    <t>SFRA 2024</t>
  </si>
  <si>
    <t>Atr Produto</t>
  </si>
  <si>
    <t>Cana Moída</t>
  </si>
  <si>
    <t>Ton</t>
  </si>
  <si>
    <t>Cana Açúcar:</t>
  </si>
  <si>
    <t>Rend</t>
  </si>
  <si>
    <t>Mix</t>
  </si>
  <si>
    <t>Mix Cana ART</t>
  </si>
  <si>
    <t>Álcool</t>
  </si>
  <si>
    <t>Produção Açúcar :</t>
  </si>
  <si>
    <t>Rend. Açúcar</t>
  </si>
  <si>
    <t>Kg/Tc</t>
  </si>
  <si>
    <t>Cana Etanol:</t>
  </si>
  <si>
    <t>Rend.  Álcool Residual</t>
  </si>
  <si>
    <t>Lt/Tc</t>
  </si>
  <si>
    <t>Álcool Direto :</t>
  </si>
  <si>
    <t>Rend. Álcool direto</t>
  </si>
  <si>
    <t>Álcool residual :</t>
  </si>
  <si>
    <t>Produçao de Açucar</t>
  </si>
  <si>
    <t>Sc50</t>
  </si>
  <si>
    <t>Produçao de Alcool</t>
  </si>
  <si>
    <t>lt</t>
  </si>
  <si>
    <t>Álcool Total :</t>
  </si>
  <si>
    <t>Por Produto</t>
  </si>
  <si>
    <t>Açucar não embalado</t>
  </si>
  <si>
    <t>% Fardos</t>
  </si>
  <si>
    <t>%/Prod</t>
  </si>
  <si>
    <t>Produção Bag</t>
  </si>
  <si>
    <t>Kg</t>
  </si>
  <si>
    <t>Produção Saca</t>
  </si>
  <si>
    <t>Produção Fardo</t>
  </si>
  <si>
    <t>Fd30</t>
  </si>
  <si>
    <t>Produção Fardo Demerara</t>
  </si>
  <si>
    <t>Total em Saca 50kg</t>
  </si>
  <si>
    <t>Produção Anidro 20º</t>
  </si>
  <si>
    <t>Lt</t>
  </si>
  <si>
    <t>Produção Hidratado 20º</t>
  </si>
  <si>
    <t>Total Alcool 20º</t>
  </si>
  <si>
    <t>Energia Exportação</t>
  </si>
  <si>
    <t>Mwh</t>
  </si>
  <si>
    <t>COMERCIALIZAÇÃO</t>
  </si>
  <si>
    <t>D. Estoques</t>
  </si>
  <si>
    <t>% Fardos s/ o Total</t>
  </si>
  <si>
    <t>%/Fat</t>
  </si>
  <si>
    <t>Açúcar em Sc50kg</t>
  </si>
  <si>
    <t>Dif prod - venda Sc50kg</t>
  </si>
  <si>
    <t>Açúcar em Fd30kg</t>
  </si>
  <si>
    <t>Dif prod - venda Fd30kg</t>
  </si>
  <si>
    <t>Açúcar em Fd30kg Demerara</t>
  </si>
  <si>
    <t>Dif prod - venda Fd30kg Dem</t>
  </si>
  <si>
    <t>Açúcar Granel</t>
  </si>
  <si>
    <t>Dif prod - venda Açú Granel</t>
  </si>
  <si>
    <t>Evap /cons</t>
  </si>
  <si>
    <t>Dif prod - Anidro</t>
  </si>
  <si>
    <t>Dif prod - Hidratado</t>
  </si>
  <si>
    <t>PREÇOS</t>
  </si>
  <si>
    <t>R$/Sc50</t>
  </si>
  <si>
    <t>R$/Fd30</t>
  </si>
  <si>
    <t>R$/Kg</t>
  </si>
  <si>
    <t>R$/Lt</t>
  </si>
  <si>
    <t>ENERGIA  ELÉTRICA</t>
  </si>
  <si>
    <t>Comercializ</t>
  </si>
  <si>
    <t>MW</t>
  </si>
  <si>
    <t>R$/MW</t>
  </si>
  <si>
    <t>SUBPRODUTOS - venda à mandacarú</t>
  </si>
  <si>
    <t>Bagaço Comum</t>
  </si>
  <si>
    <t>ton</t>
  </si>
  <si>
    <t>Bagaço Hidrolisado</t>
  </si>
  <si>
    <t>Torta</t>
  </si>
  <si>
    <t>Olho Cana</t>
  </si>
  <si>
    <t>R$/ton</t>
  </si>
  <si>
    <t>MANDACARÚ</t>
  </si>
  <si>
    <t>Bagaço Enriquecido</t>
  </si>
  <si>
    <t>Manga</t>
  </si>
  <si>
    <t>RESUMO  FINANCEIRO</t>
  </si>
  <si>
    <t>Receita de Açúcar</t>
  </si>
  <si>
    <t>R$</t>
  </si>
  <si>
    <t>Receita de Alcool</t>
  </si>
  <si>
    <t>Receita de Energia</t>
  </si>
  <si>
    <t>Receita de Subprodutos</t>
  </si>
  <si>
    <t>Receita da Mandacaru</t>
  </si>
  <si>
    <t>Alcool</t>
  </si>
  <si>
    <t>Energia Elétrica</t>
  </si>
  <si>
    <t>Ajustar ATR Vendida - fechamento Dezembro - planilha vendas por periodo</t>
  </si>
  <si>
    <t>Percentual de Marca Propia / E</t>
  </si>
  <si>
    <t>atr vendido</t>
  </si>
  <si>
    <t>Preço Final Liquido</t>
  </si>
  <si>
    <t>50kg Exportação</t>
  </si>
  <si>
    <t>Estoques Produto Acabado 31/12/2023</t>
  </si>
  <si>
    <t>Despesas Administrativas</t>
  </si>
  <si>
    <t>Despesas Comerciais</t>
  </si>
  <si>
    <t>Ativo biologico</t>
  </si>
  <si>
    <t>8.000.000 cotaa americana</t>
  </si>
  <si>
    <t>subvencao</t>
  </si>
  <si>
    <t>irpj</t>
  </si>
  <si>
    <t>2024 Otimista</t>
  </si>
  <si>
    <t>BALANÇO PATRIMONIAL EM 31 DE DEZEMBRO DE 2023</t>
  </si>
  <si>
    <t>2024 Pe</t>
  </si>
  <si>
    <t>R Jan/2024</t>
  </si>
  <si>
    <t>P Jan/2024</t>
  </si>
  <si>
    <t>ESTIMATIVA DA PRODUÇÃO  E  COMERCIALIZAÇÃO  SF 2024</t>
  </si>
  <si>
    <t>atr em açucar</t>
  </si>
  <si>
    <t>Atr em Alcool</t>
  </si>
  <si>
    <t>Total Atr</t>
  </si>
  <si>
    <t>j-m</t>
  </si>
  <si>
    <t>ab-dez</t>
  </si>
  <si>
    <t>Saldo 25</t>
  </si>
  <si>
    <t>Atr V 24</t>
  </si>
  <si>
    <t>entre s</t>
  </si>
  <si>
    <t>t</t>
  </si>
  <si>
    <t>s</t>
  </si>
  <si>
    <t>2023 R</t>
  </si>
  <si>
    <t>2023 atr</t>
  </si>
  <si>
    <t>AÇÚCAR</t>
  </si>
  <si>
    <t>QUANTIDADE</t>
  </si>
  <si>
    <t>UND</t>
  </si>
  <si>
    <t>SCS</t>
  </si>
  <si>
    <t>PREÇO</t>
  </si>
  <si>
    <t>R$/scs</t>
  </si>
  <si>
    <t>FATURAMENTO</t>
  </si>
  <si>
    <t>TOTAL AÇÚCAR</t>
  </si>
  <si>
    <t>ETANOL</t>
  </si>
  <si>
    <t>TOTAL ETANOL</t>
  </si>
  <si>
    <t>ENERGIA</t>
  </si>
  <si>
    <t>TOTAL ENERGIA</t>
  </si>
  <si>
    <t>Bagaço de cana</t>
  </si>
  <si>
    <t>kg</t>
  </si>
  <si>
    <t xml:space="preserve">R$ </t>
  </si>
  <si>
    <t>Melaço</t>
  </si>
  <si>
    <t>Palha de Cana</t>
  </si>
  <si>
    <t>TOTAL SUB-PRODUTOS</t>
  </si>
  <si>
    <t>RECEITA TOTAL</t>
  </si>
  <si>
    <t>Atr Vendido</t>
  </si>
  <si>
    <t>receita</t>
  </si>
  <si>
    <t>Outras Receitas</t>
  </si>
  <si>
    <t>Sucata</t>
  </si>
  <si>
    <t>Ajuste a Variação - Valor Justo (HEAD)</t>
  </si>
  <si>
    <t>Reversões de Provisão</t>
  </si>
  <si>
    <t>Reversões Provisão de IRPJ/CSLL</t>
  </si>
  <si>
    <t>Daptado</t>
  </si>
  <si>
    <t>2024 - Exportação</t>
  </si>
  <si>
    <t>PARA O EXERCÍCIO FINDO EM 31 DE DEZEMBRO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</si>
</sst>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0.0000000000"/>
    <numFmt numFmtId="166" formatCode="[$-416]mmm\-yy;@"/>
    <numFmt numFmtId="167" formatCode="_(* #,##0_);_(* \(#,##0\);_(* &quot;-&quot;??_);_(@_)"/>
    <numFmt numFmtId="168" formatCode="_-&quot;R$&quot;\ * #,##0_-;\-&quot;R$&quot;\ * #,##0_-;_-&quot;R$&quot;\ * &quot;-&quot;??_-;_-@_-"/>
    <numFmt numFmtId="170" formatCode="_-* #,##0.0_-;\-* #,##0.0_-;_-* &quot;-&quot;??_-;_-@_-"/>
    <numFmt numFmtId="171" formatCode="0.0%"/>
    <numFmt numFmtId="172" formatCode="_-* #,##0.0000_-;\-* #,##0.0000_-;_-* &quot;-&quot;??_-;_-@_-"/>
    <numFmt numFmtId="173" formatCode="_-* #,##0.0000_-;\-* #,##0.0000_-;_-* &quot;-&quot;????_-;_-@_-"/>
    <numFmt numFmtId="174" formatCode="[$R$-416]\ #,##0"/>
    <numFmt numFmtId="179" formatCode="&quot;R$&quot;#,##0.00"/>
    <numFmt numFmtId="180" formatCode="0.0"/>
    <numFmt numFmtId="188" formatCode="_-* #,##0.000_-;\-* #,##0.000_-;_-* &quot;-&quot;???_-;_-@_-"/>
    <numFmt numFmtId="189" formatCode="0.000%"/>
    <numFmt numFmtId="190" formatCode="_(* #,##0.000_);_(* \(#,##0.000\);_(* &quot;-&quot;??_);_(@_)"/>
    <numFmt numFmtId="191" formatCode="_(* #,##0.00_);_(* \(#,##0.00\);_(* &quot;-&quot;??_);_(@_)"/>
    <numFmt numFmtId="192" formatCode="_-* #,##0_-;\-* #,##0_-;_-* &quot;-&quot;???_-;_-@_-"/>
    <numFmt numFmtId="193" formatCode="_(* #,##0.0_);_(* \(#,##0.0\);_(* &quot;-&quot;??_);_(@_)"/>
    <numFmt numFmtId="194" formatCode="_(* #,##0.0000_);_(* \(#,##0.0000\);_(* &quot;-&quot;??_);_(@_)"/>
    <numFmt numFmtId="195" formatCode="_-* #,##0.00000_-;\-* #,##0.00000_-;_-* &quot;-&quot;??_-;_-@_-"/>
    <numFmt numFmtId="196" formatCode="_-* #,##0.000000_-;\-* #,##0.000000_-;_-* &quot;-&quot;??_-;_-@_-"/>
    <numFmt numFmtId="197" formatCode="&quot;R$&quot;\ #,##0.00"/>
    <numFmt numFmtId="198" formatCode="&quot;R$&quot;\ #,##0"/>
    <numFmt numFmtId="199" formatCode="&quot;R$&quot;\ #,##0.0000"/>
    <numFmt numFmtId="200" formatCode="_-* #,##0.0_-;\-* #,##0.0_-;_-* &quot;-&quot;?_-;_-@_-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</font>
    <font>
      <b/>
      <sz val="9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u/>
      <sz val="10"/>
      <name val="Arial"/>
      <family val="2"/>
    </font>
    <font>
      <sz val="10"/>
      <name val="Verdana"/>
      <family val="2"/>
    </font>
    <font>
      <sz val="8"/>
      <name val="Calibri"/>
      <family val="2"/>
      <scheme val="minor"/>
    </font>
    <font>
      <u/>
      <sz val="10"/>
      <name val="Verdana"/>
      <family val="2"/>
    </font>
    <font>
      <sz val="11"/>
      <name val="Times New Roman"/>
      <family val="1"/>
    </font>
    <font>
      <sz val="12"/>
      <name val="Times New Roman"/>
      <family val="1"/>
    </font>
    <font>
      <sz val="8"/>
      <color theme="1"/>
      <name val="Calibri"/>
      <family val="2"/>
      <scheme val="minor"/>
    </font>
    <font>
      <b/>
      <u/>
      <sz val="9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5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 val="double"/>
      <sz val="8"/>
      <color theme="1"/>
      <name val="Calibri"/>
      <family val="2"/>
      <scheme val="minor"/>
    </font>
    <font>
      <b/>
      <u/>
      <sz val="10"/>
      <name val="Verdana"/>
      <family val="2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sz val="11"/>
      <color rgb="FF0070C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medium">
        <color rgb="FF33333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5">
    <xf numFmtId="0" fontId="0" fillId="0" borderId="0" xfId="0"/>
    <xf numFmtId="43" fontId="0" fillId="0" borderId="0" xfId="0" applyNumberFormat="1"/>
    <xf numFmtId="9" fontId="0" fillId="0" borderId="0" xfId="2" applyFont="1"/>
    <xf numFmtId="0" fontId="0" fillId="0" borderId="1" xfId="0" applyBorder="1"/>
    <xf numFmtId="0" fontId="0" fillId="0" borderId="7" xfId="0" applyBorder="1"/>
    <xf numFmtId="0" fontId="0" fillId="0" borderId="7" xfId="0" applyBorder="1" applyAlignment="1">
      <alignment horizontal="left" indent="1"/>
    </xf>
    <xf numFmtId="0" fontId="0" fillId="0" borderId="8" xfId="0" applyBorder="1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4" fontId="0" fillId="0" borderId="0" xfId="1" applyNumberFormat="1" applyFont="1"/>
    <xf numFmtId="164" fontId="0" fillId="2" borderId="0" xfId="1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 vertical="center"/>
    </xf>
    <xf numFmtId="164" fontId="0" fillId="0" borderId="0" xfId="1" applyNumberFormat="1" applyFont="1" applyFill="1" applyBorder="1"/>
    <xf numFmtId="43" fontId="0" fillId="0" borderId="0" xfId="1" applyFont="1"/>
    <xf numFmtId="2" fontId="0" fillId="0" borderId="0" xfId="0" applyNumberFormat="1"/>
    <xf numFmtId="165" fontId="0" fillId="0" borderId="0" xfId="0" applyNumberFormat="1"/>
    <xf numFmtId="3" fontId="6" fillId="3" borderId="0" xfId="1" applyNumberFormat="1" applyFont="1" applyFill="1" applyBorder="1" applyAlignment="1">
      <alignment horizontal="center" vertical="center"/>
    </xf>
    <xf numFmtId="3" fontId="6" fillId="3" borderId="0" xfId="0" applyNumberFormat="1" applyFont="1" applyFill="1" applyAlignment="1">
      <alignment horizontal="center"/>
    </xf>
    <xf numFmtId="43" fontId="2" fillId="0" borderId="0" xfId="1" applyFont="1"/>
    <xf numFmtId="0" fontId="9" fillId="0" borderId="14" xfId="0" applyFont="1" applyBorder="1"/>
    <xf numFmtId="164" fontId="0" fillId="0" borderId="0" xfId="1" applyNumberFormat="1" applyFont="1" applyBorder="1" applyAlignment="1">
      <alignment horizontal="center" vertical="center"/>
    </xf>
    <xf numFmtId="9" fontId="0" fillId="0" borderId="3" xfId="2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164" fontId="0" fillId="2" borderId="0" xfId="1" applyNumberFormat="1" applyFont="1" applyFill="1" applyBorder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164" fontId="0" fillId="2" borderId="0" xfId="1" applyNumberFormat="1" applyFont="1" applyFill="1" applyAlignment="1">
      <alignment horizontal="center" vertical="center"/>
    </xf>
    <xf numFmtId="43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14" fillId="0" borderId="0" xfId="14" applyFont="1" applyAlignment="1">
      <alignment vertical="center"/>
    </xf>
    <xf numFmtId="41" fontId="12" fillId="0" borderId="0" xfId="0" applyNumberFormat="1" applyFont="1" applyAlignment="1">
      <alignment vertical="center"/>
    </xf>
    <xf numFmtId="167" fontId="0" fillId="0" borderId="0" xfId="0" applyNumberFormat="1"/>
    <xf numFmtId="0" fontId="16" fillId="0" borderId="0" xfId="4" applyFont="1" applyAlignment="1">
      <alignment vertical="center"/>
    </xf>
    <xf numFmtId="0" fontId="12" fillId="0" borderId="0" xfId="0" applyFont="1"/>
    <xf numFmtId="0" fontId="9" fillId="0" borderId="12" xfId="0" applyFont="1" applyBorder="1"/>
    <xf numFmtId="164" fontId="0" fillId="0" borderId="0" xfId="1" applyNumberFormat="1" applyFont="1" applyFill="1" applyBorder="1" applyAlignment="1">
      <alignment horizontal="center" vertical="center"/>
    </xf>
    <xf numFmtId="3" fontId="0" fillId="0" borderId="0" xfId="1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0" fillId="0" borderId="1" xfId="1" applyNumberFormat="1" applyFont="1" applyBorder="1"/>
    <xf numFmtId="164" fontId="0" fillId="0" borderId="1" xfId="1" applyNumberFormat="1" applyFont="1" applyBorder="1" applyAlignment="1"/>
    <xf numFmtId="0" fontId="19" fillId="0" borderId="1" xfId="0" applyFont="1" applyBorder="1" applyAlignment="1">
      <alignment horizontal="center" vertical="center"/>
    </xf>
    <xf numFmtId="9" fontId="0" fillId="0" borderId="0" xfId="2" applyFont="1" applyFill="1" applyBorder="1" applyAlignment="1">
      <alignment horizontal="center" vertical="center"/>
    </xf>
    <xf numFmtId="168" fontId="0" fillId="0" borderId="0" xfId="16" applyNumberFormat="1" applyFont="1"/>
    <xf numFmtId="164" fontId="0" fillId="0" borderId="1" xfId="0" applyNumberFormat="1" applyBorder="1"/>
    <xf numFmtId="9" fontId="0" fillId="0" borderId="0" xfId="0" applyNumberFormat="1"/>
    <xf numFmtId="168" fontId="0" fillId="0" borderId="0" xfId="0" applyNumberFormat="1"/>
    <xf numFmtId="0" fontId="23" fillId="5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4" fontId="21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4" fontId="22" fillId="0" borderId="0" xfId="0" applyNumberFormat="1" applyFont="1" applyAlignment="1">
      <alignment horizontal="right" vertical="center" wrapText="1"/>
    </xf>
    <xf numFmtId="170" fontId="0" fillId="0" borderId="0" xfId="0" applyNumberFormat="1"/>
    <xf numFmtId="0" fontId="25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43" fontId="0" fillId="0" borderId="0" xfId="1" applyFont="1" applyFill="1" applyBorder="1" applyAlignment="1">
      <alignment horizontal="center" vertical="center"/>
    </xf>
    <xf numFmtId="4" fontId="27" fillId="0" borderId="0" xfId="0" applyNumberFormat="1" applyFont="1"/>
    <xf numFmtId="3" fontId="27" fillId="0" borderId="0" xfId="0" applyNumberFormat="1" applyFont="1" applyAlignment="1">
      <alignment horizontal="center"/>
    </xf>
    <xf numFmtId="172" fontId="0" fillId="0" borderId="0" xfId="0" applyNumberFormat="1"/>
    <xf numFmtId="173" fontId="0" fillId="0" borderId="0" xfId="0" applyNumberFormat="1"/>
    <xf numFmtId="0" fontId="23" fillId="5" borderId="1" xfId="0" applyFont="1" applyFill="1" applyBorder="1" applyAlignment="1">
      <alignment horizontal="center"/>
    </xf>
    <xf numFmtId="0" fontId="7" fillId="7" borderId="9" xfId="0" applyFont="1" applyFill="1" applyBorder="1" applyAlignment="1">
      <alignment vertical="center"/>
    </xf>
    <xf numFmtId="0" fontId="8" fillId="7" borderId="19" xfId="0" applyFont="1" applyFill="1" applyBorder="1" applyAlignment="1">
      <alignment horizontal="center" vertical="center" wrapText="1"/>
    </xf>
    <xf numFmtId="0" fontId="28" fillId="7" borderId="20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vertical="center"/>
    </xf>
    <xf numFmtId="4" fontId="10" fillId="8" borderId="21" xfId="0" applyNumberFormat="1" applyFont="1" applyFill="1" applyBorder="1" applyAlignment="1">
      <alignment horizontal="right" vertical="center" wrapText="1"/>
    </xf>
    <xf numFmtId="4" fontId="30" fillId="7" borderId="22" xfId="0" applyNumberFormat="1" applyFont="1" applyFill="1" applyBorder="1"/>
    <xf numFmtId="0" fontId="3" fillId="9" borderId="12" xfId="0" applyFont="1" applyFill="1" applyBorder="1" applyAlignment="1">
      <alignment vertical="center"/>
    </xf>
    <xf numFmtId="0" fontId="27" fillId="0" borderId="0" xfId="0" applyFont="1"/>
    <xf numFmtId="0" fontId="30" fillId="0" borderId="0" xfId="0" applyFont="1"/>
    <xf numFmtId="0" fontId="11" fillId="7" borderId="13" xfId="0" applyFont="1" applyFill="1" applyBorder="1" applyAlignment="1">
      <alignment vertical="center"/>
    </xf>
    <xf numFmtId="4" fontId="10" fillId="8" borderId="23" xfId="0" applyNumberFormat="1" applyFont="1" applyFill="1" applyBorder="1" applyAlignment="1">
      <alignment horizontal="right" vertical="center" wrapText="1"/>
    </xf>
    <xf numFmtId="0" fontId="10" fillId="8" borderId="23" xfId="0" applyFont="1" applyFill="1" applyBorder="1" applyAlignment="1">
      <alignment horizontal="right" vertical="center" wrapText="1"/>
    </xf>
    <xf numFmtId="0" fontId="9" fillId="9" borderId="12" xfId="0" applyFont="1" applyFill="1" applyBorder="1" applyAlignment="1">
      <alignment vertical="center"/>
    </xf>
    <xf numFmtId="4" fontId="10" fillId="8" borderId="23" xfId="0" applyNumberFormat="1" applyFont="1" applyFill="1" applyBorder="1" applyAlignment="1">
      <alignment horizontal="right" wrapText="1"/>
    </xf>
    <xf numFmtId="0" fontId="10" fillId="8" borderId="23" xfId="0" applyFont="1" applyFill="1" applyBorder="1" applyAlignment="1">
      <alignment horizontal="right" wrapText="1"/>
    </xf>
    <xf numFmtId="0" fontId="10" fillId="8" borderId="21" xfId="0" applyFont="1" applyFill="1" applyBorder="1" applyAlignment="1">
      <alignment horizontal="right" vertical="center" wrapText="1"/>
    </xf>
    <xf numFmtId="0" fontId="9" fillId="9" borderId="14" xfId="0" applyFont="1" applyFill="1" applyBorder="1" applyAlignment="1">
      <alignment vertical="center"/>
    </xf>
    <xf numFmtId="0" fontId="9" fillId="9" borderId="14" xfId="0" applyFont="1" applyFill="1" applyBorder="1" applyAlignment="1">
      <alignment horizontal="right" vertical="center"/>
    </xf>
    <xf numFmtId="3" fontId="10" fillId="8" borderId="23" xfId="0" applyNumberFormat="1" applyFont="1" applyFill="1" applyBorder="1" applyAlignment="1">
      <alignment horizontal="right" vertical="center" wrapText="1"/>
    </xf>
    <xf numFmtId="4" fontId="30" fillId="7" borderId="22" xfId="0" applyNumberFormat="1" applyFont="1" applyFill="1" applyBorder="1" applyAlignment="1">
      <alignment vertical="center"/>
    </xf>
    <xf numFmtId="0" fontId="10" fillId="8" borderId="23" xfId="0" applyFont="1" applyFill="1" applyBorder="1" applyAlignment="1">
      <alignment horizontal="right" vertical="top" wrapText="1"/>
    </xf>
    <xf numFmtId="0" fontId="10" fillId="8" borderId="24" xfId="0" applyFont="1" applyFill="1" applyBorder="1" applyAlignment="1">
      <alignment horizontal="right" vertical="top" wrapText="1"/>
    </xf>
    <xf numFmtId="0" fontId="18" fillId="7" borderId="13" xfId="0" applyFont="1" applyFill="1" applyBorder="1" applyAlignment="1">
      <alignment vertical="center"/>
    </xf>
    <xf numFmtId="0" fontId="11" fillId="7" borderId="10" xfId="0" applyFont="1" applyFill="1" applyBorder="1" applyAlignment="1">
      <alignment horizontal="right" vertical="center"/>
    </xf>
    <xf numFmtId="4" fontId="8" fillId="7" borderId="25" xfId="0" applyNumberFormat="1" applyFont="1" applyFill="1" applyBorder="1" applyAlignment="1">
      <alignment horizontal="right" vertical="center" wrapText="1"/>
    </xf>
    <xf numFmtId="164" fontId="0" fillId="0" borderId="17" xfId="1" applyNumberFormat="1" applyFont="1" applyBorder="1"/>
    <xf numFmtId="9" fontId="24" fillId="0" borderId="1" xfId="2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64" fontId="0" fillId="0" borderId="0" xfId="1" applyNumberFormat="1" applyFont="1" applyAlignment="1">
      <alignment vertical="center"/>
    </xf>
    <xf numFmtId="0" fontId="32" fillId="0" borderId="0" xfId="3" applyFont="1" applyAlignment="1">
      <alignment vertical="center"/>
    </xf>
    <xf numFmtId="0" fontId="17" fillId="0" borderId="0" xfId="0" applyFont="1"/>
    <xf numFmtId="0" fontId="32" fillId="0" borderId="0" xfId="14" applyFont="1" applyAlignment="1">
      <alignment vertical="center"/>
    </xf>
    <xf numFmtId="0" fontId="33" fillId="0" borderId="0" xfId="3" applyFont="1" applyAlignment="1">
      <alignment vertical="center"/>
    </xf>
    <xf numFmtId="0" fontId="33" fillId="0" borderId="15" xfId="3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right" vertical="center"/>
    </xf>
    <xf numFmtId="3" fontId="35" fillId="10" borderId="0" xfId="0" applyNumberFormat="1" applyFont="1" applyFill="1" applyAlignment="1">
      <alignment horizontal="right" vertical="center"/>
    </xf>
    <xf numFmtId="0" fontId="17" fillId="0" borderId="0" xfId="0" applyFont="1" applyAlignment="1">
      <alignment horizontal="center"/>
    </xf>
    <xf numFmtId="0" fontId="36" fillId="0" borderId="0" xfId="0" applyFont="1" applyAlignment="1">
      <alignment vertical="center"/>
    </xf>
    <xf numFmtId="3" fontId="37" fillId="0" borderId="0" xfId="0" applyNumberFormat="1" applyFont="1" applyAlignment="1">
      <alignment horizontal="right" vertical="center"/>
    </xf>
    <xf numFmtId="3" fontId="34" fillId="0" borderId="0" xfId="0" applyNumberFormat="1" applyFont="1" applyAlignment="1">
      <alignment horizontal="right" vertical="center"/>
    </xf>
    <xf numFmtId="0" fontId="36" fillId="0" borderId="0" xfId="0" applyFont="1"/>
    <xf numFmtId="3" fontId="36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3" fontId="38" fillId="0" borderId="0" xfId="0" applyNumberFormat="1" applyFont="1" applyAlignment="1">
      <alignment horizontal="right" vertical="center"/>
    </xf>
    <xf numFmtId="9" fontId="17" fillId="0" borderId="0" xfId="2" applyFont="1"/>
    <xf numFmtId="0" fontId="14" fillId="0" borderId="0" xfId="3" applyFont="1" applyAlignment="1">
      <alignment horizontal="center" vertical="center"/>
    </xf>
    <xf numFmtId="0" fontId="12" fillId="0" borderId="0" xfId="15" applyFont="1" applyAlignment="1">
      <alignment horizontal="center" vertical="center"/>
    </xf>
    <xf numFmtId="0" fontId="33" fillId="0" borderId="0" xfId="0" applyFont="1"/>
    <xf numFmtId="0" fontId="39" fillId="0" borderId="0" xfId="0" applyFont="1" applyAlignment="1">
      <alignment horizontal="center"/>
    </xf>
    <xf numFmtId="0" fontId="12" fillId="0" borderId="0" xfId="15" applyFont="1"/>
    <xf numFmtId="0" fontId="33" fillId="0" borderId="0" xfId="0" quotePrefix="1" applyFont="1"/>
    <xf numFmtId="0" fontId="12" fillId="0" borderId="0" xfId="0" applyFont="1" applyAlignment="1">
      <alignment horizontal="center"/>
    </xf>
    <xf numFmtId="0" fontId="12" fillId="0" borderId="15" xfId="3" applyFont="1" applyBorder="1"/>
    <xf numFmtId="0" fontId="12" fillId="0" borderId="15" xfId="3" applyFont="1" applyBorder="1" applyAlignment="1">
      <alignment horizontal="center"/>
    </xf>
    <xf numFmtId="0" fontId="19" fillId="0" borderId="0" xfId="0" applyFont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6" fillId="0" borderId="0" xfId="0" applyFont="1" applyAlignment="1">
      <alignment vertical="center"/>
    </xf>
    <xf numFmtId="3" fontId="0" fillId="0" borderId="0" xfId="0" applyNumberFormat="1" applyAlignment="1">
      <alignment horizontal="right" vertical="center"/>
    </xf>
    <xf numFmtId="0" fontId="19" fillId="0" borderId="0" xfId="0" applyFont="1" applyAlignment="1">
      <alignment vertical="center" wrapText="1"/>
    </xf>
    <xf numFmtId="3" fontId="2" fillId="0" borderId="16" xfId="0" applyNumberFormat="1" applyFont="1" applyBorder="1" applyAlignment="1">
      <alignment horizontal="right" vertical="center" wrapText="1"/>
    </xf>
    <xf numFmtId="3" fontId="26" fillId="0" borderId="16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 vertical="center" wrapText="1"/>
    </xf>
    <xf numFmtId="3" fontId="40" fillId="0" borderId="0" xfId="0" applyNumberFormat="1" applyFont="1" applyAlignment="1">
      <alignment horizontal="right" vertical="center"/>
    </xf>
    <xf numFmtId="3" fontId="41" fillId="0" borderId="0" xfId="0" applyNumberFormat="1" applyFont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19" fillId="0" borderId="0" xfId="0" applyNumberFormat="1" applyFont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19" fillId="0" borderId="26" xfId="0" applyFont="1" applyBorder="1" applyAlignment="1">
      <alignment horizontal="right" vertical="center"/>
    </xf>
    <xf numFmtId="0" fontId="26" fillId="0" borderId="0" xfId="0" applyFont="1" applyAlignment="1">
      <alignment horizontal="left" vertical="center" indent="1"/>
    </xf>
    <xf numFmtId="0" fontId="26" fillId="0" borderId="0" xfId="0" applyFont="1" applyAlignment="1">
      <alignment vertical="center" wrapText="1"/>
    </xf>
    <xf numFmtId="3" fontId="0" fillId="0" borderId="16" xfId="0" applyNumberFormat="1" applyBorder="1" applyAlignment="1">
      <alignment horizontal="right" vertical="center" wrapText="1"/>
    </xf>
    <xf numFmtId="3" fontId="19" fillId="0" borderId="16" xfId="0" applyNumberFormat="1" applyFont="1" applyBorder="1" applyAlignment="1">
      <alignment horizontal="right" vertical="center" wrapText="1"/>
    </xf>
    <xf numFmtId="43" fontId="0" fillId="0" borderId="16" xfId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42" fillId="0" borderId="0" xfId="0" applyFont="1" applyAlignment="1">
      <alignment horizontal="center" vertical="center"/>
    </xf>
    <xf numFmtId="4" fontId="42" fillId="0" borderId="0" xfId="0" applyNumberFormat="1" applyFont="1" applyAlignment="1">
      <alignment horizontal="center" vertical="center"/>
    </xf>
    <xf numFmtId="1" fontId="42" fillId="0" borderId="0" xfId="0" applyNumberFormat="1" applyFont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1" fontId="0" fillId="0" borderId="0" xfId="0" applyNumberFormat="1"/>
    <xf numFmtId="174" fontId="0" fillId="0" borderId="0" xfId="0" applyNumberFormat="1"/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164" fontId="0" fillId="2" borderId="0" xfId="2" applyNumberFormat="1" applyFont="1" applyFill="1" applyBorder="1" applyAlignment="1">
      <alignment horizontal="center" vertical="center"/>
    </xf>
    <xf numFmtId="164" fontId="0" fillId="0" borderId="0" xfId="2" applyNumberFormat="1" applyFont="1" applyBorder="1" applyAlignment="1">
      <alignment horizontal="center" vertical="center"/>
    </xf>
    <xf numFmtId="3" fontId="6" fillId="12" borderId="0" xfId="1" applyNumberFormat="1" applyFont="1" applyFill="1" applyBorder="1" applyAlignment="1">
      <alignment horizontal="center" vertical="center"/>
    </xf>
    <xf numFmtId="0" fontId="26" fillId="13" borderId="1" xfId="0" applyFont="1" applyFill="1" applyBorder="1" applyAlignment="1">
      <alignment horizontal="center" vertical="center"/>
    </xf>
    <xf numFmtId="9" fontId="47" fillId="13" borderId="1" xfId="2" applyFont="1" applyFill="1" applyBorder="1" applyAlignment="1">
      <alignment horizontal="center" vertical="center"/>
    </xf>
    <xf numFmtId="3" fontId="42" fillId="0" borderId="0" xfId="10" applyNumberFormat="1" applyFont="1" applyBorder="1" applyAlignment="1">
      <alignment horizontal="center" vertical="center"/>
    </xf>
    <xf numFmtId="0" fontId="45" fillId="5" borderId="1" xfId="0" applyFont="1" applyFill="1" applyBorder="1" applyAlignment="1">
      <alignment horizontal="center"/>
    </xf>
    <xf numFmtId="0" fontId="26" fillId="14" borderId="1" xfId="0" applyFont="1" applyFill="1" applyBorder="1" applyAlignment="1">
      <alignment horizontal="center" vertical="center"/>
    </xf>
    <xf numFmtId="164" fontId="44" fillId="5" borderId="17" xfId="1" applyNumberFormat="1" applyFont="1" applyFill="1" applyBorder="1"/>
    <xf numFmtId="0" fontId="0" fillId="15" borderId="7" xfId="0" applyFill="1" applyBorder="1"/>
    <xf numFmtId="164" fontId="0" fillId="15" borderId="0" xfId="1" applyNumberFormat="1" applyFont="1" applyFill="1" applyBorder="1" applyAlignment="1">
      <alignment horizontal="center" vertical="center"/>
    </xf>
    <xf numFmtId="9" fontId="0" fillId="15" borderId="0" xfId="2" applyFont="1" applyFill="1" applyBorder="1" applyAlignment="1">
      <alignment horizontal="center" vertical="center"/>
    </xf>
    <xf numFmtId="0" fontId="0" fillId="2" borderId="0" xfId="0" applyFill="1"/>
    <xf numFmtId="10" fontId="0" fillId="0" borderId="0" xfId="2" applyNumberFormat="1" applyFont="1"/>
    <xf numFmtId="168" fontId="42" fillId="11" borderId="0" xfId="0" applyNumberFormat="1" applyFont="1" applyFill="1"/>
    <xf numFmtId="0" fontId="52" fillId="0" borderId="0" xfId="0" applyFont="1"/>
    <xf numFmtId="0" fontId="49" fillId="0" borderId="0" xfId="0" applyFont="1"/>
    <xf numFmtId="0" fontId="50" fillId="0" borderId="0" xfId="0" applyFont="1"/>
    <xf numFmtId="188" fontId="49" fillId="0" borderId="0" xfId="0" applyNumberFormat="1" applyFont="1"/>
    <xf numFmtId="0" fontId="1" fillId="0" borderId="0" xfId="0" applyFont="1"/>
    <xf numFmtId="17" fontId="53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2" fontId="50" fillId="0" borderId="0" xfId="0" applyNumberFormat="1" applyFont="1" applyAlignment="1">
      <alignment horizontal="center"/>
    </xf>
    <xf numFmtId="0" fontId="40" fillId="18" borderId="0" xfId="0" applyFont="1" applyFill="1"/>
    <xf numFmtId="0" fontId="50" fillId="18" borderId="0" xfId="0" applyFont="1" applyFill="1" applyAlignment="1">
      <alignment horizontal="left"/>
    </xf>
    <xf numFmtId="43" fontId="0" fillId="18" borderId="0" xfId="0" applyNumberFormat="1" applyFill="1"/>
    <xf numFmtId="0" fontId="49" fillId="18" borderId="0" xfId="0" applyFont="1" applyFill="1"/>
    <xf numFmtId="0" fontId="1" fillId="18" borderId="0" xfId="0" applyFont="1" applyFill="1"/>
    <xf numFmtId="2" fontId="49" fillId="0" borderId="0" xfId="0" applyNumberFormat="1" applyFont="1"/>
    <xf numFmtId="180" fontId="50" fillId="0" borderId="0" xfId="0" applyNumberFormat="1" applyFont="1" applyAlignment="1">
      <alignment horizontal="left"/>
    </xf>
    <xf numFmtId="167" fontId="1" fillId="0" borderId="0" xfId="0" applyNumberFormat="1" applyFont="1"/>
    <xf numFmtId="167" fontId="49" fillId="0" borderId="0" xfId="0" applyNumberFormat="1" applyFont="1"/>
    <xf numFmtId="0" fontId="2" fillId="17" borderId="0" xfId="0" applyFont="1" applyFill="1" applyAlignment="1">
      <alignment horizontal="center"/>
    </xf>
    <xf numFmtId="0" fontId="1" fillId="19" borderId="1" xfId="0" applyFont="1" applyFill="1" applyBorder="1"/>
    <xf numFmtId="167" fontId="49" fillId="0" borderId="1" xfId="1" applyNumberFormat="1" applyFont="1" applyBorder="1"/>
    <xf numFmtId="0" fontId="49" fillId="0" borderId="1" xfId="0" applyFont="1" applyBorder="1"/>
    <xf numFmtId="167" fontId="49" fillId="19" borderId="1" xfId="0" applyNumberFormat="1" applyFont="1" applyFill="1" applyBorder="1"/>
    <xf numFmtId="0" fontId="49" fillId="19" borderId="1" xfId="0" applyFont="1" applyFill="1" applyBorder="1"/>
    <xf numFmtId="167" fontId="50" fillId="19" borderId="1" xfId="1" applyNumberFormat="1" applyFont="1" applyFill="1" applyBorder="1"/>
    <xf numFmtId="167" fontId="50" fillId="17" borderId="1" xfId="1" applyNumberFormat="1" applyFont="1" applyFill="1" applyBorder="1"/>
    <xf numFmtId="188" fontId="49" fillId="0" borderId="0" xfId="0" applyNumberFormat="1" applyFont="1" applyAlignment="1">
      <alignment horizontal="right"/>
    </xf>
    <xf numFmtId="0" fontId="1" fillId="18" borderId="1" xfId="0" applyFont="1" applyFill="1" applyBorder="1" applyAlignment="1">
      <alignment horizontal="left" vertical="center"/>
    </xf>
    <xf numFmtId="2" fontId="54" fillId="18" borderId="1" xfId="0" applyNumberFormat="1" applyFont="1" applyFill="1" applyBorder="1"/>
    <xf numFmtId="189" fontId="54" fillId="18" borderId="1" xfId="0" applyNumberFormat="1" applyFont="1" applyFill="1" applyBorder="1"/>
    <xf numFmtId="0" fontId="49" fillId="18" borderId="1" xfId="0" applyFont="1" applyFill="1" applyBorder="1"/>
    <xf numFmtId="43" fontId="50" fillId="18" borderId="1" xfId="1" applyFont="1" applyFill="1" applyBorder="1" applyAlignment="1">
      <alignment horizontal="center"/>
    </xf>
    <xf numFmtId="43" fontId="50" fillId="17" borderId="1" xfId="1" applyFont="1" applyFill="1" applyBorder="1" applyAlignment="1">
      <alignment horizontal="center"/>
    </xf>
    <xf numFmtId="167" fontId="49" fillId="18" borderId="0" xfId="0" applyNumberFormat="1" applyFont="1" applyFill="1"/>
    <xf numFmtId="188" fontId="49" fillId="17" borderId="0" xfId="0" applyNumberFormat="1" applyFont="1" applyFill="1"/>
    <xf numFmtId="43" fontId="49" fillId="0" borderId="0" xfId="1" applyFont="1"/>
    <xf numFmtId="10" fontId="1" fillId="0" borderId="0" xfId="2" applyNumberFormat="1" applyFont="1"/>
    <xf numFmtId="190" fontId="49" fillId="0" borderId="1" xfId="1" applyNumberFormat="1" applyFont="1" applyBorder="1"/>
    <xf numFmtId="191" fontId="55" fillId="0" borderId="1" xfId="1" applyNumberFormat="1" applyFont="1" applyBorder="1"/>
    <xf numFmtId="190" fontId="50" fillId="19" borderId="1" xfId="1" applyNumberFormat="1" applyFont="1" applyFill="1" applyBorder="1" applyAlignment="1">
      <alignment horizontal="center"/>
    </xf>
    <xf numFmtId="0" fontId="49" fillId="17" borderId="0" xfId="0" applyFont="1" applyFill="1"/>
    <xf numFmtId="0" fontId="1" fillId="0" borderId="1" xfId="0" applyFont="1" applyBorder="1"/>
    <xf numFmtId="43" fontId="50" fillId="0" borderId="1" xfId="1" applyFont="1" applyBorder="1" applyAlignment="1">
      <alignment horizontal="center"/>
    </xf>
    <xf numFmtId="0" fontId="0" fillId="19" borderId="1" xfId="0" applyFill="1" applyBorder="1"/>
    <xf numFmtId="167" fontId="54" fillId="0" borderId="0" xfId="1" applyNumberFormat="1" applyFont="1"/>
    <xf numFmtId="43" fontId="50" fillId="0" borderId="0" xfId="1" applyFont="1" applyAlignment="1">
      <alignment horizontal="center"/>
    </xf>
    <xf numFmtId="0" fontId="1" fillId="18" borderId="1" xfId="0" applyFont="1" applyFill="1" applyBorder="1"/>
    <xf numFmtId="0" fontId="0" fillId="18" borderId="1" xfId="0" applyFill="1" applyBorder="1"/>
    <xf numFmtId="167" fontId="55" fillId="18" borderId="1" xfId="1" applyNumberFormat="1" applyFont="1" applyFill="1" applyBorder="1"/>
    <xf numFmtId="167" fontId="48" fillId="18" borderId="1" xfId="1" applyNumberFormat="1" applyFont="1" applyFill="1" applyBorder="1"/>
    <xf numFmtId="190" fontId="49" fillId="18" borderId="1" xfId="1" applyNumberFormat="1" applyFont="1" applyFill="1" applyBorder="1"/>
    <xf numFmtId="192" fontId="49" fillId="18" borderId="0" xfId="0" applyNumberFormat="1" applyFont="1" applyFill="1"/>
    <xf numFmtId="188" fontId="49" fillId="18" borderId="0" xfId="0" applyNumberFormat="1" applyFont="1" applyFill="1"/>
    <xf numFmtId="190" fontId="54" fillId="0" borderId="0" xfId="1" applyNumberFormat="1" applyFont="1"/>
    <xf numFmtId="192" fontId="49" fillId="0" borderId="0" xfId="0" applyNumberFormat="1" applyFont="1"/>
    <xf numFmtId="0" fontId="47" fillId="4" borderId="0" xfId="0" applyFont="1" applyFill="1"/>
    <xf numFmtId="0" fontId="49" fillId="0" borderId="0" xfId="0" applyFont="1" applyAlignment="1">
      <alignment horizontal="center"/>
    </xf>
    <xf numFmtId="164" fontId="0" fillId="19" borderId="1" xfId="1" applyNumberFormat="1" applyFont="1" applyFill="1" applyBorder="1"/>
    <xf numFmtId="164" fontId="1" fillId="19" borderId="1" xfId="1" applyNumberFormat="1" applyFont="1" applyFill="1" applyBorder="1"/>
    <xf numFmtId="164" fontId="49" fillId="0" borderId="1" xfId="1" applyNumberFormat="1" applyFont="1" applyBorder="1"/>
    <xf numFmtId="164" fontId="50" fillId="19" borderId="1" xfId="1" applyNumberFormat="1" applyFont="1" applyFill="1" applyBorder="1"/>
    <xf numFmtId="164" fontId="49" fillId="0" borderId="0" xfId="1" applyNumberFormat="1" applyFont="1"/>
    <xf numFmtId="164" fontId="49" fillId="17" borderId="0" xfId="1" applyNumberFormat="1" applyFont="1" applyFill="1"/>
    <xf numFmtId="164" fontId="1" fillId="0" borderId="0" xfId="1" applyNumberFormat="1" applyFont="1"/>
    <xf numFmtId="171" fontId="49" fillId="0" borderId="1" xfId="2" applyNumberFormat="1" applyFont="1" applyBorder="1"/>
    <xf numFmtId="9" fontId="49" fillId="0" borderId="1" xfId="0" applyNumberFormat="1" applyFont="1" applyBorder="1"/>
    <xf numFmtId="171" fontId="50" fillId="19" borderId="1" xfId="0" applyNumberFormat="1" applyFont="1" applyFill="1" applyBorder="1"/>
    <xf numFmtId="171" fontId="50" fillId="17" borderId="1" xfId="0" applyNumberFormat="1" applyFont="1" applyFill="1" applyBorder="1"/>
    <xf numFmtId="167" fontId="48" fillId="0" borderId="1" xfId="1" applyNumberFormat="1" applyFont="1" applyBorder="1"/>
    <xf numFmtId="167" fontId="56" fillId="0" borderId="1" xfId="0" applyNumberFormat="1" applyFont="1" applyBorder="1"/>
    <xf numFmtId="193" fontId="49" fillId="0" borderId="1" xfId="1" applyNumberFormat="1" applyFont="1" applyBorder="1"/>
    <xf numFmtId="9" fontId="49" fillId="0" borderId="0" xfId="0" applyNumberFormat="1" applyFont="1"/>
    <xf numFmtId="43" fontId="49" fillId="0" borderId="0" xfId="0" applyNumberFormat="1" applyFont="1"/>
    <xf numFmtId="0" fontId="40" fillId="0" borderId="0" xfId="0" applyFont="1"/>
    <xf numFmtId="9" fontId="1" fillId="19" borderId="1" xfId="2" applyFont="1" applyFill="1" applyBorder="1"/>
    <xf numFmtId="171" fontId="50" fillId="19" borderId="1" xfId="2" applyNumberFormat="1" applyFont="1" applyFill="1" applyBorder="1"/>
    <xf numFmtId="9" fontId="1" fillId="0" borderId="0" xfId="2" applyFont="1"/>
    <xf numFmtId="171" fontId="49" fillId="0" borderId="0" xfId="2" applyNumberFormat="1" applyFont="1"/>
    <xf numFmtId="9" fontId="57" fillId="0" borderId="0" xfId="2" applyFont="1" applyAlignment="1">
      <alignment horizontal="center"/>
    </xf>
    <xf numFmtId="9" fontId="58" fillId="0" borderId="0" xfId="2" applyFont="1" applyAlignment="1">
      <alignment horizontal="center"/>
    </xf>
    <xf numFmtId="167" fontId="50" fillId="0" borderId="1" xfId="0" applyNumberFormat="1" applyFont="1" applyBorder="1"/>
    <xf numFmtId="0" fontId="48" fillId="19" borderId="1" xfId="0" applyFont="1" applyFill="1" applyBorder="1"/>
    <xf numFmtId="167" fontId="51" fillId="0" borderId="1" xfId="0" applyNumberFormat="1" applyFont="1" applyBorder="1"/>
    <xf numFmtId="167" fontId="51" fillId="19" borderId="1" xfId="1" applyNumberFormat="1" applyFont="1" applyFill="1" applyBorder="1"/>
    <xf numFmtId="167" fontId="56" fillId="0" borderId="0" xfId="0" applyNumberFormat="1" applyFont="1"/>
    <xf numFmtId="167" fontId="56" fillId="6" borderId="0" xfId="0" applyNumberFormat="1" applyFont="1" applyFill="1"/>
    <xf numFmtId="167" fontId="57" fillId="0" borderId="0" xfId="1" applyNumberFormat="1" applyFont="1" applyAlignment="1">
      <alignment horizontal="center"/>
    </xf>
    <xf numFmtId="167" fontId="49" fillId="19" borderId="1" xfId="1" applyNumberFormat="1" applyFont="1" applyFill="1" applyBorder="1"/>
    <xf numFmtId="167" fontId="49" fillId="2" borderId="1" xfId="1" applyNumberFormat="1" applyFont="1" applyFill="1" applyBorder="1"/>
    <xf numFmtId="43" fontId="49" fillId="0" borderId="1" xfId="1" applyFont="1" applyBorder="1"/>
    <xf numFmtId="191" fontId="50" fillId="19" borderId="1" xfId="1" applyNumberFormat="1" applyFont="1" applyFill="1" applyBorder="1"/>
    <xf numFmtId="191" fontId="59" fillId="0" borderId="0" xfId="0" applyNumberFormat="1" applyFont="1"/>
    <xf numFmtId="0" fontId="59" fillId="0" borderId="0" xfId="0" applyFont="1"/>
    <xf numFmtId="0" fontId="60" fillId="0" borderId="0" xfId="0" applyFont="1"/>
    <xf numFmtId="0" fontId="50" fillId="19" borderId="1" xfId="1" applyNumberFormat="1" applyFont="1" applyFill="1" applyBorder="1"/>
    <xf numFmtId="194" fontId="49" fillId="0" borderId="1" xfId="1" applyNumberFormat="1" applyFont="1" applyBorder="1"/>
    <xf numFmtId="173" fontId="49" fillId="0" borderId="0" xfId="0" applyNumberFormat="1" applyFont="1"/>
    <xf numFmtId="0" fontId="40" fillId="4" borderId="0" xfId="0" applyFont="1" applyFill="1"/>
    <xf numFmtId="43" fontId="49" fillId="19" borderId="1" xfId="1" applyFont="1" applyFill="1" applyBorder="1"/>
    <xf numFmtId="0" fontId="1" fillId="4" borderId="0" xfId="0" applyFont="1" applyFill="1"/>
    <xf numFmtId="0" fontId="49" fillId="4" borderId="0" xfId="0" applyFont="1" applyFill="1"/>
    <xf numFmtId="167" fontId="50" fillId="0" borderId="1" xfId="1" applyNumberFormat="1" applyFont="1" applyBorder="1"/>
    <xf numFmtId="167" fontId="50" fillId="16" borderId="1" xfId="1" applyNumberFormat="1" applyFont="1" applyFill="1" applyBorder="1"/>
    <xf numFmtId="0" fontId="1" fillId="0" borderId="0" xfId="0" quotePrefix="1" applyFont="1"/>
    <xf numFmtId="164" fontId="49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/>
    <xf numFmtId="43" fontId="1" fillId="0" borderId="0" xfId="1" applyFont="1"/>
    <xf numFmtId="43" fontId="50" fillId="0" borderId="0" xfId="1" applyFont="1"/>
    <xf numFmtId="10" fontId="0" fillId="0" borderId="0" xfId="2" applyNumberFormat="1" applyFont="1" applyFill="1" applyBorder="1" applyAlignment="1">
      <alignment horizontal="center" vertical="center"/>
    </xf>
    <xf numFmtId="0" fontId="61" fillId="0" borderId="7" xfId="0" applyFont="1" applyBorder="1"/>
    <xf numFmtId="164" fontId="62" fillId="2" borderId="0" xfId="1" applyNumberFormat="1" applyFont="1" applyFill="1" applyBorder="1" applyAlignment="1">
      <alignment horizontal="center" vertical="center"/>
    </xf>
    <xf numFmtId="195" fontId="0" fillId="0" borderId="0" xfId="1" applyNumberFormat="1" applyFont="1" applyFill="1" applyBorder="1"/>
    <xf numFmtId="9" fontId="0" fillId="0" borderId="0" xfId="0" applyNumberFormat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164" fontId="1" fillId="0" borderId="3" xfId="1" applyNumberFormat="1" applyFont="1" applyBorder="1" applyAlignment="1">
      <alignment horizontal="center" vertical="center"/>
    </xf>
    <xf numFmtId="196" fontId="0" fillId="0" borderId="0" xfId="1" applyNumberFormat="1" applyFont="1"/>
    <xf numFmtId="164" fontId="1" fillId="2" borderId="0" xfId="1" applyNumberFormat="1" applyFont="1" applyFill="1" applyBorder="1" applyAlignment="1">
      <alignment horizontal="center" vertical="center"/>
    </xf>
    <xf numFmtId="0" fontId="44" fillId="20" borderId="0" xfId="0" applyFont="1" applyFill="1" applyAlignment="1">
      <alignment horizontal="center"/>
    </xf>
    <xf numFmtId="0" fontId="44" fillId="20" borderId="0" xfId="0" applyFont="1" applyFill="1" applyAlignment="1">
      <alignment horizontal="center" vertical="center"/>
    </xf>
    <xf numFmtId="0" fontId="50" fillId="21" borderId="5" xfId="0" applyFont="1" applyFill="1" applyBorder="1"/>
    <xf numFmtId="164" fontId="50" fillId="21" borderId="2" xfId="1" applyNumberFormat="1" applyFont="1" applyFill="1" applyBorder="1" applyAlignment="1">
      <alignment horizontal="center" vertical="center"/>
    </xf>
    <xf numFmtId="43" fontId="10" fillId="8" borderId="21" xfId="1" applyFont="1" applyFill="1" applyBorder="1" applyAlignment="1">
      <alignment horizontal="right" vertical="center" wrapText="1"/>
    </xf>
    <xf numFmtId="17" fontId="44" fillId="22" borderId="0" xfId="0" applyNumberFormat="1" applyFont="1" applyFill="1" applyAlignment="1">
      <alignment horizontal="center" vertical="center"/>
    </xf>
    <xf numFmtId="167" fontId="1" fillId="18" borderId="0" xfId="0" applyNumberFormat="1" applyFont="1" applyFill="1"/>
    <xf numFmtId="0" fontId="0" fillId="19" borderId="0" xfId="0" applyFill="1"/>
    <xf numFmtId="191" fontId="1" fillId="0" borderId="0" xfId="0" applyNumberFormat="1" applyFont="1"/>
    <xf numFmtId="0" fontId="44" fillId="18" borderId="0" xfId="0" applyFont="1" applyFill="1" applyAlignment="1">
      <alignment horizontal="center"/>
    </xf>
    <xf numFmtId="0" fontId="9" fillId="23" borderId="18" xfId="0" applyFont="1" applyFill="1" applyBorder="1"/>
    <xf numFmtId="0" fontId="9" fillId="0" borderId="18" xfId="0" applyFont="1" applyBorder="1"/>
    <xf numFmtId="17" fontId="9" fillId="19" borderId="28" xfId="0" applyNumberFormat="1" applyFont="1" applyFill="1" applyBorder="1"/>
    <xf numFmtId="17" fontId="9" fillId="19" borderId="18" xfId="0" applyNumberFormat="1" applyFont="1" applyFill="1" applyBorder="1"/>
    <xf numFmtId="17" fontId="9" fillId="23" borderId="18" xfId="0" applyNumberFormat="1" applyFont="1" applyFill="1" applyBorder="1"/>
    <xf numFmtId="0" fontId="9" fillId="23" borderId="18" xfId="0" applyFont="1" applyFill="1" applyBorder="1" applyAlignment="1">
      <alignment horizontal="center"/>
    </xf>
    <xf numFmtId="0" fontId="9" fillId="19" borderId="29" xfId="0" applyFont="1" applyFill="1" applyBorder="1"/>
    <xf numFmtId="0" fontId="9" fillId="23" borderId="29" xfId="0" applyFont="1" applyFill="1" applyBorder="1"/>
    <xf numFmtId="0" fontId="9" fillId="0" borderId="1" xfId="0" applyFont="1" applyBorder="1"/>
    <xf numFmtId="3" fontId="0" fillId="0" borderId="1" xfId="0" applyNumberFormat="1" applyBorder="1"/>
    <xf numFmtId="3" fontId="0" fillId="24" borderId="1" xfId="0" applyNumberFormat="1" applyFill="1" applyBorder="1"/>
    <xf numFmtId="3" fontId="9" fillId="23" borderId="1" xfId="0" applyNumberFormat="1" applyFont="1" applyFill="1" applyBorder="1" applyAlignment="1">
      <alignment horizontal="right"/>
    </xf>
    <xf numFmtId="3" fontId="0" fillId="24" borderId="0" xfId="0" applyNumberFormat="1" applyFill="1"/>
    <xf numFmtId="0" fontId="9" fillId="0" borderId="30" xfId="0" applyFont="1" applyBorder="1"/>
    <xf numFmtId="164" fontId="9" fillId="0" borderId="31" xfId="1" applyNumberFormat="1" applyFont="1" applyBorder="1"/>
    <xf numFmtId="164" fontId="9" fillId="23" borderId="31" xfId="1" applyNumberFormat="1" applyFont="1" applyFill="1" applyBorder="1" applyAlignment="1">
      <alignment horizontal="right"/>
    </xf>
    <xf numFmtId="164" fontId="9" fillId="0" borderId="31" xfId="1" applyNumberFormat="1" applyFont="1" applyBorder="1" applyAlignment="1">
      <alignment horizontal="right"/>
    </xf>
    <xf numFmtId="0" fontId="9" fillId="23" borderId="0" xfId="0" applyFont="1" applyFill="1"/>
    <xf numFmtId="0" fontId="9" fillId="0" borderId="32" xfId="0" applyFont="1" applyBorder="1"/>
    <xf numFmtId="0" fontId="9" fillId="0" borderId="33" xfId="0" applyFont="1" applyBorder="1"/>
    <xf numFmtId="197" fontId="0" fillId="0" borderId="33" xfId="0" applyNumberFormat="1" applyBorder="1"/>
    <xf numFmtId="197" fontId="9" fillId="23" borderId="34" xfId="0" applyNumberFormat="1" applyFont="1" applyFill="1" applyBorder="1" applyAlignment="1">
      <alignment horizontal="center"/>
    </xf>
    <xf numFmtId="197" fontId="0" fillId="0" borderId="1" xfId="0" applyNumberFormat="1" applyBorder="1"/>
    <xf numFmtId="197" fontId="0" fillId="24" borderId="1" xfId="0" applyNumberFormat="1" applyFill="1" applyBorder="1"/>
    <xf numFmtId="0" fontId="9" fillId="0" borderId="35" xfId="0" applyFont="1" applyBorder="1"/>
    <xf numFmtId="0" fontId="9" fillId="0" borderId="36" xfId="0" applyFont="1" applyBorder="1"/>
    <xf numFmtId="197" fontId="0" fillId="0" borderId="36" xfId="0" applyNumberFormat="1" applyBorder="1"/>
    <xf numFmtId="197" fontId="9" fillId="23" borderId="37" xfId="0" applyNumberFormat="1" applyFont="1" applyFill="1" applyBorder="1" applyAlignment="1">
      <alignment horizontal="center"/>
    </xf>
    <xf numFmtId="0" fontId="9" fillId="0" borderId="38" xfId="0" applyFont="1" applyBorder="1"/>
    <xf numFmtId="0" fontId="9" fillId="0" borderId="39" xfId="0" applyFont="1" applyBorder="1"/>
    <xf numFmtId="197" fontId="0" fillId="0" borderId="39" xfId="0" applyNumberFormat="1" applyBorder="1"/>
    <xf numFmtId="197" fontId="9" fillId="23" borderId="40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31" xfId="0" applyFont="1" applyBorder="1"/>
    <xf numFmtId="197" fontId="9" fillId="0" borderId="31" xfId="0" applyNumberFormat="1" applyFont="1" applyBorder="1"/>
    <xf numFmtId="198" fontId="0" fillId="0" borderId="1" xfId="0" applyNumberFormat="1" applyBorder="1"/>
    <xf numFmtId="198" fontId="0" fillId="24" borderId="1" xfId="0" applyNumberFormat="1" applyFill="1" applyBorder="1"/>
    <xf numFmtId="198" fontId="9" fillId="23" borderId="1" xfId="0" applyNumberFormat="1" applyFont="1" applyFill="1" applyBorder="1" applyAlignment="1">
      <alignment horizontal="center"/>
    </xf>
    <xf numFmtId="0" fontId="9" fillId="20" borderId="31" xfId="0" applyFont="1" applyFill="1" applyBorder="1"/>
    <xf numFmtId="198" fontId="9" fillId="20" borderId="31" xfId="0" applyNumberFormat="1" applyFont="1" applyFill="1" applyBorder="1" applyAlignment="1">
      <alignment horizontal="center"/>
    </xf>
    <xf numFmtId="198" fontId="9" fillId="23" borderId="31" xfId="0" applyNumberFormat="1" applyFont="1" applyFill="1" applyBorder="1" applyAlignment="1">
      <alignment horizontal="center"/>
    </xf>
    <xf numFmtId="198" fontId="9" fillId="0" borderId="31" xfId="0" applyNumberFormat="1" applyFont="1" applyBorder="1" applyAlignment="1">
      <alignment horizontal="center"/>
    </xf>
    <xf numFmtId="198" fontId="9" fillId="0" borderId="0" xfId="0" applyNumberFormat="1" applyFont="1" applyAlignment="1">
      <alignment horizontal="center"/>
    </xf>
    <xf numFmtId="198" fontId="9" fillId="23" borderId="0" xfId="0" applyNumberFormat="1" applyFont="1" applyFill="1" applyAlignment="1">
      <alignment horizontal="center"/>
    </xf>
    <xf numFmtId="197" fontId="9" fillId="23" borderId="41" xfId="0" applyNumberFormat="1" applyFont="1" applyFill="1" applyBorder="1" applyAlignment="1">
      <alignment horizontal="center"/>
    </xf>
    <xf numFmtId="3" fontId="0" fillId="0" borderId="4" xfId="0" applyNumberFormat="1" applyBorder="1"/>
    <xf numFmtId="197" fontId="0" fillId="0" borderId="0" xfId="0" applyNumberFormat="1"/>
    <xf numFmtId="0" fontId="9" fillId="20" borderId="6" xfId="0" applyFont="1" applyFill="1" applyBorder="1"/>
    <xf numFmtId="198" fontId="9" fillId="20" borderId="6" xfId="0" applyNumberFormat="1" applyFont="1" applyFill="1" applyBorder="1" applyAlignment="1">
      <alignment horizontal="center"/>
    </xf>
    <xf numFmtId="198" fontId="9" fillId="23" borderId="6" xfId="0" applyNumberFormat="1" applyFont="1" applyFill="1" applyBorder="1" applyAlignment="1">
      <alignment horizontal="center"/>
    </xf>
    <xf numFmtId="198" fontId="0" fillId="0" borderId="17" xfId="0" applyNumberFormat="1" applyBorder="1"/>
    <xf numFmtId="198" fontId="0" fillId="24" borderId="17" xfId="0" applyNumberFormat="1" applyFill="1" applyBorder="1"/>
    <xf numFmtId="0" fontId="64" fillId="0" borderId="0" xfId="0" applyFont="1"/>
    <xf numFmtId="0" fontId="3" fillId="0" borderId="0" xfId="0" applyFont="1"/>
    <xf numFmtId="3" fontId="0" fillId="0" borderId="0" xfId="0" applyNumberFormat="1" applyAlignment="1">
      <alignment horizontal="center"/>
    </xf>
    <xf numFmtId="199" fontId="0" fillId="0" borderId="0" xfId="0" applyNumberFormat="1"/>
    <xf numFmtId="197" fontId="0" fillId="0" borderId="0" xfId="0" applyNumberFormat="1" applyAlignment="1">
      <alignment horizontal="center"/>
    </xf>
    <xf numFmtId="198" fontId="0" fillId="0" borderId="0" xfId="0" applyNumberFormat="1"/>
    <xf numFmtId="197" fontId="9" fillId="0" borderId="0" xfId="0" applyNumberFormat="1" applyFont="1"/>
    <xf numFmtId="197" fontId="9" fillId="0" borderId="0" xfId="0" applyNumberFormat="1" applyFont="1" applyAlignment="1">
      <alignment horizontal="center"/>
    </xf>
    <xf numFmtId="0" fontId="0" fillId="20" borderId="31" xfId="0" applyFill="1" applyBorder="1"/>
    <xf numFmtId="197" fontId="9" fillId="20" borderId="31" xfId="0" applyNumberFormat="1" applyFont="1" applyFill="1" applyBorder="1"/>
    <xf numFmtId="0" fontId="65" fillId="20" borderId="31" xfId="0" applyFont="1" applyFill="1" applyBorder="1"/>
    <xf numFmtId="198" fontId="65" fillId="20" borderId="31" xfId="0" applyNumberFormat="1" applyFont="1" applyFill="1" applyBorder="1" applyAlignment="1">
      <alignment horizontal="center"/>
    </xf>
    <xf numFmtId="10" fontId="0" fillId="0" borderId="0" xfId="0" applyNumberFormat="1"/>
    <xf numFmtId="170" fontId="0" fillId="0" borderId="0" xfId="1" applyNumberFormat="1" applyFont="1"/>
    <xf numFmtId="200" fontId="0" fillId="0" borderId="0" xfId="0" applyNumberFormat="1"/>
    <xf numFmtId="3" fontId="6" fillId="3" borderId="0" xfId="1" applyNumberFormat="1" applyFont="1" applyFill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9" fontId="0" fillId="0" borderId="0" xfId="2" applyFont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164" fontId="66" fillId="2" borderId="0" xfId="1" applyNumberFormat="1" applyFont="1" applyFill="1" applyBorder="1" applyAlignment="1">
      <alignment horizontal="center" vertical="center"/>
    </xf>
    <xf numFmtId="1" fontId="66" fillId="2" borderId="0" xfId="0" applyNumberFormat="1" applyFont="1" applyFill="1" applyAlignment="1">
      <alignment horizontal="center" vertical="center"/>
    </xf>
    <xf numFmtId="43" fontId="66" fillId="2" borderId="0" xfId="0" applyNumberFormat="1" applyFont="1" applyFill="1" applyAlignment="1">
      <alignment horizontal="center" vertical="center"/>
    </xf>
    <xf numFmtId="9" fontId="66" fillId="2" borderId="0" xfId="2" applyFont="1" applyFill="1" applyAlignment="1">
      <alignment horizontal="center" vertical="center"/>
    </xf>
    <xf numFmtId="3" fontId="66" fillId="2" borderId="0" xfId="0" applyNumberFormat="1" applyFont="1" applyFill="1" applyAlignment="1">
      <alignment horizontal="center" vertical="center"/>
    </xf>
    <xf numFmtId="164" fontId="49" fillId="2" borderId="0" xfId="1" applyNumberFormat="1" applyFont="1" applyFill="1" applyBorder="1" applyAlignment="1">
      <alignment horizontal="center" vertical="center"/>
    </xf>
    <xf numFmtId="164" fontId="49" fillId="2" borderId="3" xfId="1" applyNumberFormat="1" applyFont="1" applyFill="1" applyBorder="1" applyAlignment="1">
      <alignment horizontal="center" vertical="center"/>
    </xf>
    <xf numFmtId="164" fontId="49" fillId="0" borderId="0" xfId="1" applyNumberFormat="1" applyFont="1" applyBorder="1" applyAlignment="1">
      <alignment horizontal="center" vertical="center"/>
    </xf>
    <xf numFmtId="179" fontId="0" fillId="0" borderId="0" xfId="0" applyNumberFormat="1"/>
    <xf numFmtId="0" fontId="0" fillId="4" borderId="0" xfId="0" applyFill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63" fillId="21" borderId="7" xfId="0" applyFont="1" applyFill="1" applyBorder="1" applyAlignment="1">
      <alignment horizontal="center"/>
    </xf>
    <xf numFmtId="0" fontId="63" fillId="21" borderId="0" xfId="0" applyFont="1" applyFill="1" applyAlignment="1">
      <alignment horizontal="center"/>
    </xf>
    <xf numFmtId="0" fontId="29" fillId="7" borderId="10" xfId="0" applyFont="1" applyFill="1" applyBorder="1" applyAlignment="1">
      <alignment horizontal="center" vertical="center"/>
    </xf>
    <xf numFmtId="0" fontId="29" fillId="7" borderId="11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3" fontId="31" fillId="14" borderId="1" xfId="1" applyFont="1" applyFill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/>
    </xf>
    <xf numFmtId="164" fontId="31" fillId="13" borderId="1" xfId="1" applyNumberFormat="1" applyFont="1" applyFill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23" fillId="5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 vertical="center"/>
    </xf>
    <xf numFmtId="43" fontId="31" fillId="0" borderId="1" xfId="1" applyFont="1" applyBorder="1" applyAlignment="1">
      <alignment horizontal="center" vertical="center"/>
    </xf>
    <xf numFmtId="0" fontId="0" fillId="18" borderId="1" xfId="0" applyFill="1" applyBorder="1" applyAlignment="1">
      <alignment horizontal="left" vertical="center"/>
    </xf>
    <xf numFmtId="0" fontId="1" fillId="18" borderId="1" xfId="0" applyFont="1" applyFill="1" applyBorder="1" applyAlignment="1">
      <alignment horizontal="left" vertical="center"/>
    </xf>
    <xf numFmtId="17" fontId="53" fillId="0" borderId="0" xfId="0" applyNumberFormat="1" applyFont="1" applyAlignment="1">
      <alignment horizontal="center"/>
    </xf>
  </cellXfs>
  <cellStyles count="26">
    <cellStyle name="Comma 2" xfId="7" xr:uid="{727E4286-E6DE-48B0-AABF-9314A96C8799}"/>
    <cellStyle name="Comma 2 2" xfId="12" xr:uid="{BD8D7377-54B7-4548-9170-C6C870AEE590}"/>
    <cellStyle name="Comma 2 2 2" xfId="23" xr:uid="{5989C70C-1C2C-4F2A-ACBD-3F2D00105D6C}"/>
    <cellStyle name="Comma 2 3" xfId="19" xr:uid="{5FA1934A-CE7F-46DF-9FD9-9CC0F591C1CB}"/>
    <cellStyle name="Comma 5 6" xfId="8" xr:uid="{DFCE819A-E7EB-435A-B716-13BEE1A78F42}"/>
    <cellStyle name="Comma 5 6 2" xfId="13" xr:uid="{55E2FD0A-2962-40E8-8424-34151E693CA7}"/>
    <cellStyle name="Comma 5 6 2 2" xfId="24" xr:uid="{656A86B2-CE57-45A1-85E8-697DA2AC711F}"/>
    <cellStyle name="Comma 5 6 3" xfId="20" xr:uid="{4803EAEE-3C52-4888-8054-9E8CEBD6E026}"/>
    <cellStyle name="Moeda" xfId="16" builtinId="4"/>
    <cellStyle name="Moeda 2" xfId="25" xr:uid="{2A841024-4133-4B73-97A9-4EA4B8593EF5}"/>
    <cellStyle name="Normal" xfId="0" builtinId="0"/>
    <cellStyle name="Normal - Style1 2" xfId="3" xr:uid="{A9B71A6C-1A28-456B-8B1D-77D08A1AD54E}"/>
    <cellStyle name="Normal 2 2" xfId="5" xr:uid="{57E9ACA5-E960-46BB-AA2D-3A032EADB670}"/>
    <cellStyle name="Normal 2 2 2 2" xfId="9" xr:uid="{FBEF2358-9C42-4E50-9361-21B62DE38560}"/>
    <cellStyle name="Normal 6" xfId="4" xr:uid="{EE6FF4A3-21CC-4BFF-A208-2FDE11B25AC8}"/>
    <cellStyle name="Normal_2231 2  Demonstrações financeiras - 31 12 02" xfId="15" xr:uid="{4C91B949-BCBD-4985-ADAB-FD72693B27D3}"/>
    <cellStyle name="Normal_Cópia de Fluxo de caixa ALE 2006-2005_DFC 2007  e 2006" xfId="14" xr:uid="{153532AF-9E82-48F3-BDDE-B76387752049}"/>
    <cellStyle name="Porcentagem" xfId="2" builtinId="5"/>
    <cellStyle name="Vírgula" xfId="1" builtinId="3"/>
    <cellStyle name="Vírgula 2" xfId="10" xr:uid="{E6E72285-2E16-42E6-BF44-FE95473CA52C}"/>
    <cellStyle name="Vírgula 2 2" xfId="21" xr:uid="{F027B73D-DB2A-42B5-82D4-927696FBB700}"/>
    <cellStyle name="Vírgula 3" xfId="6" xr:uid="{96DF9D00-C462-4D54-A341-AE2872979798}"/>
    <cellStyle name="Vírgula 3 2" xfId="11" xr:uid="{EA92ACB3-C8A5-4D96-81BE-5D9A936276E6}"/>
    <cellStyle name="Vírgula 3 2 2" xfId="22" xr:uid="{651B347F-B9B7-4D94-A9EC-A93CBAD765E9}"/>
    <cellStyle name="Vírgula 3 3" xfId="18" xr:uid="{CF59B445-02E9-4B1A-AAD5-E9410A5D42F9}"/>
    <cellStyle name="Vírgula 4" xfId="17" xr:uid="{2AB64E58-260B-4297-906D-1593B2257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Vencimentos</a:t>
            </a:r>
            <a:r>
              <a:rPr lang="en-US" b="1" baseline="0">
                <a:solidFill>
                  <a:schemeClr val="tx1"/>
                </a:solidFill>
              </a:rPr>
              <a:t> por ano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'Dívida-Principal'!$A$34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numRef>
              <c:f>'Dívida-Principal'!$B$1:$H$1</c:f>
              <c:numCache>
                <c:formatCode>General</c:formatCod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</c:numCache>
            </c:numRef>
          </c:cat>
          <c:val>
            <c:numRef>
              <c:f>'Dívida-Principal'!$B$34:$H$34</c:f>
              <c:numCache>
                <c:formatCode>#,##0.00</c:formatCode>
                <c:ptCount val="7"/>
                <c:pt idx="0">
                  <c:v>73278353.24000001</c:v>
                </c:pt>
                <c:pt idx="1">
                  <c:v>67216914.949999988</c:v>
                </c:pt>
                <c:pt idx="2">
                  <c:v>66709292.640000001</c:v>
                </c:pt>
                <c:pt idx="3">
                  <c:v>65715787.759999998</c:v>
                </c:pt>
                <c:pt idx="4">
                  <c:v>28668787.760000002</c:v>
                </c:pt>
                <c:pt idx="5">
                  <c:v>1168787.76</c:v>
                </c:pt>
                <c:pt idx="6">
                  <c:v>1168787.76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5-48FB-9E6C-610AEF2A0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63679"/>
        <c:axId val="35254943"/>
      </c:barChart>
      <c:catAx>
        <c:axId val="3526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254943"/>
        <c:crosses val="autoZero"/>
        <c:auto val="1"/>
        <c:lblAlgn val="ctr"/>
        <c:lblOffset val="100"/>
        <c:noMultiLvlLbl val="0"/>
      </c:catAx>
      <c:valAx>
        <c:axId val="35254943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263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[2]Plan1!$AA$6</c:f>
              <c:strCache>
                <c:ptCount val="1"/>
                <c:pt idx="0">
                  <c:v>Atr Produzido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[2]Plan1!$B$7:$B$50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[2]Plan1!$AA$7:$AA$50</c:f>
              <c:numCache>
                <c:formatCode>General</c:formatCode>
                <c:ptCount val="44"/>
                <c:pt idx="0">
                  <c:v>8340.9012500000008</c:v>
                </c:pt>
                <c:pt idx="1">
                  <c:v>19512.787425000002</c:v>
                </c:pt>
                <c:pt idx="2">
                  <c:v>26227.084150000002</c:v>
                </c:pt>
                <c:pt idx="3">
                  <c:v>28663.467250000005</c:v>
                </c:pt>
                <c:pt idx="4">
                  <c:v>62574.799483800009</c:v>
                </c:pt>
                <c:pt idx="5">
                  <c:v>57805.015000000007</c:v>
                </c:pt>
                <c:pt idx="6">
                  <c:v>66658.79856000001</c:v>
                </c:pt>
                <c:pt idx="7">
                  <c:v>73105.897550000009</c:v>
                </c:pt>
                <c:pt idx="8">
                  <c:v>77978.904029099998</c:v>
                </c:pt>
                <c:pt idx="9">
                  <c:v>81719.726834500019</c:v>
                </c:pt>
                <c:pt idx="10">
                  <c:v>66661.138449999999</c:v>
                </c:pt>
                <c:pt idx="11">
                  <c:v>96564.967564200007</c:v>
                </c:pt>
                <c:pt idx="12">
                  <c:v>91068.904750000016</c:v>
                </c:pt>
                <c:pt idx="13">
                  <c:v>105074.52790410002</c:v>
                </c:pt>
                <c:pt idx="14">
                  <c:v>125428.11125000002</c:v>
                </c:pt>
                <c:pt idx="15">
                  <c:v>134658.83632000003</c:v>
                </c:pt>
                <c:pt idx="16">
                  <c:v>134191.96550595001</c:v>
                </c:pt>
                <c:pt idx="17">
                  <c:v>150190.04360912502</c:v>
                </c:pt>
                <c:pt idx="18">
                  <c:v>157859.270758125</c:v>
                </c:pt>
                <c:pt idx="19">
                  <c:v>166716.89156312501</c:v>
                </c:pt>
                <c:pt idx="20">
                  <c:v>156996.71290062502</c:v>
                </c:pt>
                <c:pt idx="21">
                  <c:v>146137.60251500001</c:v>
                </c:pt>
                <c:pt idx="22">
                  <c:v>164185.20423812504</c:v>
                </c:pt>
                <c:pt idx="23">
                  <c:v>185719.32770843754</c:v>
                </c:pt>
                <c:pt idx="24">
                  <c:v>179267.86699275003</c:v>
                </c:pt>
                <c:pt idx="25">
                  <c:v>188206.85935840625</c:v>
                </c:pt>
                <c:pt idx="26">
                  <c:v>184174.20239375002</c:v>
                </c:pt>
                <c:pt idx="27">
                  <c:v>199006.263225</c:v>
                </c:pt>
                <c:pt idx="28">
                  <c:v>183753.84267725001</c:v>
                </c:pt>
                <c:pt idx="29">
                  <c:v>171079.18172466345</c:v>
                </c:pt>
                <c:pt idx="30">
                  <c:v>180066.56040840625</c:v>
                </c:pt>
                <c:pt idx="31">
                  <c:v>188292.26402139795</c:v>
                </c:pt>
                <c:pt idx="32">
                  <c:v>170150.3445697969</c:v>
                </c:pt>
                <c:pt idx="33">
                  <c:v>198024.38129343133</c:v>
                </c:pt>
                <c:pt idx="34">
                  <c:v>190951.36051903749</c:v>
                </c:pt>
                <c:pt idx="35">
                  <c:v>233818.26517275607</c:v>
                </c:pt>
                <c:pt idx="36">
                  <c:v>221950.03682770001</c:v>
                </c:pt>
                <c:pt idx="37">
                  <c:v>229154.08336393751</c:v>
                </c:pt>
                <c:pt idx="38">
                  <c:v>240322.86630337502</c:v>
                </c:pt>
                <c:pt idx="39">
                  <c:v>265289.19692993752</c:v>
                </c:pt>
                <c:pt idx="40">
                  <c:v>225348.71834541249</c:v>
                </c:pt>
                <c:pt idx="41">
                  <c:v>241230.15299371252</c:v>
                </c:pt>
                <c:pt idx="42">
                  <c:v>206496.46866000001</c:v>
                </c:pt>
                <c:pt idx="43">
                  <c:v>254499.12500000003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CF-4139-8B6F-A01009367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6792463"/>
        <c:axId val="175679454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[2]Plan1!$B$7</c15:sqref>
                        </c15:formulaRef>
                      </c:ext>
                    </c:extLst>
                    <c:strCache>
                      <c:ptCount val="1"/>
                      <c:pt idx="0">
                        <c:v>1980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[2]Plan1!$B$7:$B$50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1980</c:v>
                      </c:pt>
                      <c:pt idx="1">
                        <c:v>1981</c:v>
                      </c:pt>
                      <c:pt idx="2">
                        <c:v>1982</c:v>
                      </c:pt>
                      <c:pt idx="3">
                        <c:v>1983</c:v>
                      </c:pt>
                      <c:pt idx="4">
                        <c:v>1984</c:v>
                      </c:pt>
                      <c:pt idx="5">
                        <c:v>1985</c:v>
                      </c:pt>
                      <c:pt idx="6">
                        <c:v>1986</c:v>
                      </c:pt>
                      <c:pt idx="7">
                        <c:v>1987</c:v>
                      </c:pt>
                      <c:pt idx="8">
                        <c:v>1988</c:v>
                      </c:pt>
                      <c:pt idx="9">
                        <c:v>1989</c:v>
                      </c:pt>
                      <c:pt idx="10">
                        <c:v>1990</c:v>
                      </c:pt>
                      <c:pt idx="11">
                        <c:v>1991</c:v>
                      </c:pt>
                      <c:pt idx="12">
                        <c:v>1992</c:v>
                      </c:pt>
                      <c:pt idx="13">
                        <c:v>1993</c:v>
                      </c:pt>
                      <c:pt idx="14">
                        <c:v>1994</c:v>
                      </c:pt>
                      <c:pt idx="15">
                        <c:v>1995</c:v>
                      </c:pt>
                      <c:pt idx="16">
                        <c:v>1996</c:v>
                      </c:pt>
                      <c:pt idx="17">
                        <c:v>1997</c:v>
                      </c:pt>
                      <c:pt idx="18">
                        <c:v>1998</c:v>
                      </c:pt>
                      <c:pt idx="19">
                        <c:v>1999</c:v>
                      </c:pt>
                      <c:pt idx="20">
                        <c:v>2000</c:v>
                      </c:pt>
                      <c:pt idx="21">
                        <c:v>2001</c:v>
                      </c:pt>
                      <c:pt idx="22">
                        <c:v>2002</c:v>
                      </c:pt>
                      <c:pt idx="23">
                        <c:v>2003</c:v>
                      </c:pt>
                      <c:pt idx="24">
                        <c:v>2004</c:v>
                      </c:pt>
                      <c:pt idx="25">
                        <c:v>2005</c:v>
                      </c:pt>
                      <c:pt idx="26">
                        <c:v>2006</c:v>
                      </c:pt>
                      <c:pt idx="27">
                        <c:v>2007</c:v>
                      </c:pt>
                      <c:pt idx="28">
                        <c:v>2008</c:v>
                      </c:pt>
                      <c:pt idx="29">
                        <c:v>2009</c:v>
                      </c:pt>
                      <c:pt idx="30">
                        <c:v>2010</c:v>
                      </c:pt>
                      <c:pt idx="31">
                        <c:v>2011</c:v>
                      </c:pt>
                      <c:pt idx="32">
                        <c:v>2012</c:v>
                      </c:pt>
                      <c:pt idx="33">
                        <c:v>2013</c:v>
                      </c:pt>
                      <c:pt idx="34">
                        <c:v>2014</c:v>
                      </c:pt>
                      <c:pt idx="35">
                        <c:v>2015</c:v>
                      </c:pt>
                      <c:pt idx="36">
                        <c:v>2016</c:v>
                      </c:pt>
                      <c:pt idx="37">
                        <c:v>2017</c:v>
                      </c:pt>
                      <c:pt idx="38">
                        <c:v>2018</c:v>
                      </c:pt>
                      <c:pt idx="39">
                        <c:v>2019</c:v>
                      </c:pt>
                      <c:pt idx="40">
                        <c:v>2020</c:v>
                      </c:pt>
                      <c:pt idx="41">
                        <c:v>2021</c:v>
                      </c:pt>
                      <c:pt idx="42">
                        <c:v>2022</c:v>
                      </c:pt>
                      <c:pt idx="4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[2]Plan1!$B$8:$B$50</c15:sqref>
                        </c15:formulaRef>
                      </c:ext>
                    </c:extLst>
                    <c:numCache>
                      <c:formatCode>General</c:formatCode>
                      <c:ptCount val="43"/>
                      <c:pt idx="0">
                        <c:v>1981</c:v>
                      </c:pt>
                      <c:pt idx="1">
                        <c:v>1982</c:v>
                      </c:pt>
                      <c:pt idx="2">
                        <c:v>1983</c:v>
                      </c:pt>
                      <c:pt idx="3">
                        <c:v>1984</c:v>
                      </c:pt>
                      <c:pt idx="4">
                        <c:v>1985</c:v>
                      </c:pt>
                      <c:pt idx="5">
                        <c:v>1986</c:v>
                      </c:pt>
                      <c:pt idx="6">
                        <c:v>1987</c:v>
                      </c:pt>
                      <c:pt idx="7">
                        <c:v>1988</c:v>
                      </c:pt>
                      <c:pt idx="8">
                        <c:v>1989</c:v>
                      </c:pt>
                      <c:pt idx="9">
                        <c:v>1990</c:v>
                      </c:pt>
                      <c:pt idx="10">
                        <c:v>1991</c:v>
                      </c:pt>
                      <c:pt idx="11">
                        <c:v>1992</c:v>
                      </c:pt>
                      <c:pt idx="12">
                        <c:v>1993</c:v>
                      </c:pt>
                      <c:pt idx="13">
                        <c:v>1994</c:v>
                      </c:pt>
                      <c:pt idx="14">
                        <c:v>1995</c:v>
                      </c:pt>
                      <c:pt idx="15">
                        <c:v>1996</c:v>
                      </c:pt>
                      <c:pt idx="16">
                        <c:v>1997</c:v>
                      </c:pt>
                      <c:pt idx="17">
                        <c:v>1998</c:v>
                      </c:pt>
                      <c:pt idx="18">
                        <c:v>1999</c:v>
                      </c:pt>
                      <c:pt idx="19">
                        <c:v>2000</c:v>
                      </c:pt>
                      <c:pt idx="20">
                        <c:v>2001</c:v>
                      </c:pt>
                      <c:pt idx="21">
                        <c:v>2002</c:v>
                      </c:pt>
                      <c:pt idx="22">
                        <c:v>2003</c:v>
                      </c:pt>
                      <c:pt idx="23">
                        <c:v>2004</c:v>
                      </c:pt>
                      <c:pt idx="24">
                        <c:v>2005</c:v>
                      </c:pt>
                      <c:pt idx="25">
                        <c:v>2006</c:v>
                      </c:pt>
                      <c:pt idx="26">
                        <c:v>2007</c:v>
                      </c:pt>
                      <c:pt idx="27">
                        <c:v>2008</c:v>
                      </c:pt>
                      <c:pt idx="28">
                        <c:v>2009</c:v>
                      </c:pt>
                      <c:pt idx="29">
                        <c:v>2010</c:v>
                      </c:pt>
                      <c:pt idx="30">
                        <c:v>2011</c:v>
                      </c:pt>
                      <c:pt idx="31">
                        <c:v>2012</c:v>
                      </c:pt>
                      <c:pt idx="32">
                        <c:v>2013</c:v>
                      </c:pt>
                      <c:pt idx="33">
                        <c:v>2014</c:v>
                      </c:pt>
                      <c:pt idx="34">
                        <c:v>2015</c:v>
                      </c:pt>
                      <c:pt idx="35">
                        <c:v>2016</c:v>
                      </c:pt>
                      <c:pt idx="36">
                        <c:v>2017</c:v>
                      </c:pt>
                      <c:pt idx="37">
                        <c:v>2018</c:v>
                      </c:pt>
                      <c:pt idx="38">
                        <c:v>2019</c:v>
                      </c:pt>
                      <c:pt idx="39">
                        <c:v>2020</c:v>
                      </c:pt>
                      <c:pt idx="40">
                        <c:v>2021</c:v>
                      </c:pt>
                      <c:pt idx="41">
                        <c:v>2022</c:v>
                      </c:pt>
                      <c:pt idx="42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1CF-4139-8B6F-A010093678AC}"/>
                  </c:ext>
                </c:extLst>
              </c15:ser>
            </c15:filteredLineSeries>
          </c:ext>
        </c:extLst>
      </c:lineChart>
      <c:catAx>
        <c:axId val="1756792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56794543"/>
        <c:crosses val="autoZero"/>
        <c:auto val="1"/>
        <c:lblAlgn val="ctr"/>
        <c:lblOffset val="100"/>
        <c:noMultiLvlLbl val="0"/>
      </c:catAx>
      <c:valAx>
        <c:axId val="1756794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56792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[2]Plan1!$AA$6</c:f>
              <c:strCache>
                <c:ptCount val="1"/>
                <c:pt idx="0">
                  <c:v>Atr Produzido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[2]Plan1!$B$7:$B$50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[2]Plan1!$AA$7:$AA$50</c:f>
              <c:numCache>
                <c:formatCode>General</c:formatCode>
                <c:ptCount val="44"/>
                <c:pt idx="0">
                  <c:v>8340.9012500000008</c:v>
                </c:pt>
                <c:pt idx="1">
                  <c:v>19512.787425000002</c:v>
                </c:pt>
                <c:pt idx="2">
                  <c:v>26227.084150000002</c:v>
                </c:pt>
                <c:pt idx="3">
                  <c:v>28663.467250000005</c:v>
                </c:pt>
                <c:pt idx="4">
                  <c:v>62574.799483800009</c:v>
                </c:pt>
                <c:pt idx="5">
                  <c:v>57805.015000000007</c:v>
                </c:pt>
                <c:pt idx="6">
                  <c:v>66658.79856000001</c:v>
                </c:pt>
                <c:pt idx="7">
                  <c:v>73105.897550000009</c:v>
                </c:pt>
                <c:pt idx="8">
                  <c:v>77978.904029099998</c:v>
                </c:pt>
                <c:pt idx="9">
                  <c:v>81719.726834500019</c:v>
                </c:pt>
                <c:pt idx="10">
                  <c:v>66661.138449999999</c:v>
                </c:pt>
                <c:pt idx="11">
                  <c:v>96564.967564200007</c:v>
                </c:pt>
                <c:pt idx="12">
                  <c:v>91068.904750000016</c:v>
                </c:pt>
                <c:pt idx="13">
                  <c:v>105074.52790410002</c:v>
                </c:pt>
                <c:pt idx="14">
                  <c:v>125428.11125000002</c:v>
                </c:pt>
                <c:pt idx="15">
                  <c:v>134658.83632000003</c:v>
                </c:pt>
                <c:pt idx="16">
                  <c:v>134191.96550595001</c:v>
                </c:pt>
                <c:pt idx="17">
                  <c:v>150190.04360912502</c:v>
                </c:pt>
                <c:pt idx="18">
                  <c:v>157859.270758125</c:v>
                </c:pt>
                <c:pt idx="19">
                  <c:v>166716.89156312501</c:v>
                </c:pt>
                <c:pt idx="20">
                  <c:v>156996.71290062502</c:v>
                </c:pt>
                <c:pt idx="21">
                  <c:v>146137.60251500001</c:v>
                </c:pt>
                <c:pt idx="22">
                  <c:v>164185.20423812504</c:v>
                </c:pt>
                <c:pt idx="23">
                  <c:v>185719.32770843754</c:v>
                </c:pt>
                <c:pt idx="24">
                  <c:v>179267.86699275003</c:v>
                </c:pt>
                <c:pt idx="25">
                  <c:v>188206.85935840625</c:v>
                </c:pt>
                <c:pt idx="26">
                  <c:v>184174.20239375002</c:v>
                </c:pt>
                <c:pt idx="27">
                  <c:v>199006.263225</c:v>
                </c:pt>
                <c:pt idx="28">
                  <c:v>183753.84267725001</c:v>
                </c:pt>
                <c:pt idx="29">
                  <c:v>171079.18172466345</c:v>
                </c:pt>
                <c:pt idx="30">
                  <c:v>180066.56040840625</c:v>
                </c:pt>
                <c:pt idx="31">
                  <c:v>188292.26402139795</c:v>
                </c:pt>
                <c:pt idx="32">
                  <c:v>170150.3445697969</c:v>
                </c:pt>
                <c:pt idx="33">
                  <c:v>198024.38129343133</c:v>
                </c:pt>
                <c:pt idx="34">
                  <c:v>190951.36051903749</c:v>
                </c:pt>
                <c:pt idx="35">
                  <c:v>233818.26517275607</c:v>
                </c:pt>
                <c:pt idx="36">
                  <c:v>221950.03682770001</c:v>
                </c:pt>
                <c:pt idx="37">
                  <c:v>229154.08336393751</c:v>
                </c:pt>
                <c:pt idx="38">
                  <c:v>240322.86630337502</c:v>
                </c:pt>
                <c:pt idx="39">
                  <c:v>265289.19692993752</c:v>
                </c:pt>
                <c:pt idx="40">
                  <c:v>225348.71834541249</c:v>
                </c:pt>
                <c:pt idx="41">
                  <c:v>241230.15299371252</c:v>
                </c:pt>
                <c:pt idx="42">
                  <c:v>206496.46866000001</c:v>
                </c:pt>
                <c:pt idx="43">
                  <c:v>254499.12500000003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BF-43DD-AE1E-B7CAF75ED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6792463"/>
        <c:axId val="175679454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[2]Plan1!$B$7</c15:sqref>
                        </c15:formulaRef>
                      </c:ext>
                    </c:extLst>
                    <c:strCache>
                      <c:ptCount val="1"/>
                      <c:pt idx="0">
                        <c:v>1980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[2]Plan1!$B$7:$B$50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1980</c:v>
                      </c:pt>
                      <c:pt idx="1">
                        <c:v>1981</c:v>
                      </c:pt>
                      <c:pt idx="2">
                        <c:v>1982</c:v>
                      </c:pt>
                      <c:pt idx="3">
                        <c:v>1983</c:v>
                      </c:pt>
                      <c:pt idx="4">
                        <c:v>1984</c:v>
                      </c:pt>
                      <c:pt idx="5">
                        <c:v>1985</c:v>
                      </c:pt>
                      <c:pt idx="6">
                        <c:v>1986</c:v>
                      </c:pt>
                      <c:pt idx="7">
                        <c:v>1987</c:v>
                      </c:pt>
                      <c:pt idx="8">
                        <c:v>1988</c:v>
                      </c:pt>
                      <c:pt idx="9">
                        <c:v>1989</c:v>
                      </c:pt>
                      <c:pt idx="10">
                        <c:v>1990</c:v>
                      </c:pt>
                      <c:pt idx="11">
                        <c:v>1991</c:v>
                      </c:pt>
                      <c:pt idx="12">
                        <c:v>1992</c:v>
                      </c:pt>
                      <c:pt idx="13">
                        <c:v>1993</c:v>
                      </c:pt>
                      <c:pt idx="14">
                        <c:v>1994</c:v>
                      </c:pt>
                      <c:pt idx="15">
                        <c:v>1995</c:v>
                      </c:pt>
                      <c:pt idx="16">
                        <c:v>1996</c:v>
                      </c:pt>
                      <c:pt idx="17">
                        <c:v>1997</c:v>
                      </c:pt>
                      <c:pt idx="18">
                        <c:v>1998</c:v>
                      </c:pt>
                      <c:pt idx="19">
                        <c:v>1999</c:v>
                      </c:pt>
                      <c:pt idx="20">
                        <c:v>2000</c:v>
                      </c:pt>
                      <c:pt idx="21">
                        <c:v>2001</c:v>
                      </c:pt>
                      <c:pt idx="22">
                        <c:v>2002</c:v>
                      </c:pt>
                      <c:pt idx="23">
                        <c:v>2003</c:v>
                      </c:pt>
                      <c:pt idx="24">
                        <c:v>2004</c:v>
                      </c:pt>
                      <c:pt idx="25">
                        <c:v>2005</c:v>
                      </c:pt>
                      <c:pt idx="26">
                        <c:v>2006</c:v>
                      </c:pt>
                      <c:pt idx="27">
                        <c:v>2007</c:v>
                      </c:pt>
                      <c:pt idx="28">
                        <c:v>2008</c:v>
                      </c:pt>
                      <c:pt idx="29">
                        <c:v>2009</c:v>
                      </c:pt>
                      <c:pt idx="30">
                        <c:v>2010</c:v>
                      </c:pt>
                      <c:pt idx="31">
                        <c:v>2011</c:v>
                      </c:pt>
                      <c:pt idx="32">
                        <c:v>2012</c:v>
                      </c:pt>
                      <c:pt idx="33">
                        <c:v>2013</c:v>
                      </c:pt>
                      <c:pt idx="34">
                        <c:v>2014</c:v>
                      </c:pt>
                      <c:pt idx="35">
                        <c:v>2015</c:v>
                      </c:pt>
                      <c:pt idx="36">
                        <c:v>2016</c:v>
                      </c:pt>
                      <c:pt idx="37">
                        <c:v>2017</c:v>
                      </c:pt>
                      <c:pt idx="38">
                        <c:v>2018</c:v>
                      </c:pt>
                      <c:pt idx="39">
                        <c:v>2019</c:v>
                      </c:pt>
                      <c:pt idx="40">
                        <c:v>2020</c:v>
                      </c:pt>
                      <c:pt idx="41">
                        <c:v>2021</c:v>
                      </c:pt>
                      <c:pt idx="42">
                        <c:v>2022</c:v>
                      </c:pt>
                      <c:pt idx="4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[2]Plan1!$B$8:$B$50</c15:sqref>
                        </c15:formulaRef>
                      </c:ext>
                    </c:extLst>
                    <c:numCache>
                      <c:formatCode>General</c:formatCode>
                      <c:ptCount val="43"/>
                      <c:pt idx="0">
                        <c:v>1981</c:v>
                      </c:pt>
                      <c:pt idx="1">
                        <c:v>1982</c:v>
                      </c:pt>
                      <c:pt idx="2">
                        <c:v>1983</c:v>
                      </c:pt>
                      <c:pt idx="3">
                        <c:v>1984</c:v>
                      </c:pt>
                      <c:pt idx="4">
                        <c:v>1985</c:v>
                      </c:pt>
                      <c:pt idx="5">
                        <c:v>1986</c:v>
                      </c:pt>
                      <c:pt idx="6">
                        <c:v>1987</c:v>
                      </c:pt>
                      <c:pt idx="7">
                        <c:v>1988</c:v>
                      </c:pt>
                      <c:pt idx="8">
                        <c:v>1989</c:v>
                      </c:pt>
                      <c:pt idx="9">
                        <c:v>1990</c:v>
                      </c:pt>
                      <c:pt idx="10">
                        <c:v>1991</c:v>
                      </c:pt>
                      <c:pt idx="11">
                        <c:v>1992</c:v>
                      </c:pt>
                      <c:pt idx="12">
                        <c:v>1993</c:v>
                      </c:pt>
                      <c:pt idx="13">
                        <c:v>1994</c:v>
                      </c:pt>
                      <c:pt idx="14">
                        <c:v>1995</c:v>
                      </c:pt>
                      <c:pt idx="15">
                        <c:v>1996</c:v>
                      </c:pt>
                      <c:pt idx="16">
                        <c:v>1997</c:v>
                      </c:pt>
                      <c:pt idx="17">
                        <c:v>1998</c:v>
                      </c:pt>
                      <c:pt idx="18">
                        <c:v>1999</c:v>
                      </c:pt>
                      <c:pt idx="19">
                        <c:v>2000</c:v>
                      </c:pt>
                      <c:pt idx="20">
                        <c:v>2001</c:v>
                      </c:pt>
                      <c:pt idx="21">
                        <c:v>2002</c:v>
                      </c:pt>
                      <c:pt idx="22">
                        <c:v>2003</c:v>
                      </c:pt>
                      <c:pt idx="23">
                        <c:v>2004</c:v>
                      </c:pt>
                      <c:pt idx="24">
                        <c:v>2005</c:v>
                      </c:pt>
                      <c:pt idx="25">
                        <c:v>2006</c:v>
                      </c:pt>
                      <c:pt idx="26">
                        <c:v>2007</c:v>
                      </c:pt>
                      <c:pt idx="27">
                        <c:v>2008</c:v>
                      </c:pt>
                      <c:pt idx="28">
                        <c:v>2009</c:v>
                      </c:pt>
                      <c:pt idx="29">
                        <c:v>2010</c:v>
                      </c:pt>
                      <c:pt idx="30">
                        <c:v>2011</c:v>
                      </c:pt>
                      <c:pt idx="31">
                        <c:v>2012</c:v>
                      </c:pt>
                      <c:pt idx="32">
                        <c:v>2013</c:v>
                      </c:pt>
                      <c:pt idx="33">
                        <c:v>2014</c:v>
                      </c:pt>
                      <c:pt idx="34">
                        <c:v>2015</c:v>
                      </c:pt>
                      <c:pt idx="35">
                        <c:v>2016</c:v>
                      </c:pt>
                      <c:pt idx="36">
                        <c:v>2017</c:v>
                      </c:pt>
                      <c:pt idx="37">
                        <c:v>2018</c:v>
                      </c:pt>
                      <c:pt idx="38">
                        <c:v>2019</c:v>
                      </c:pt>
                      <c:pt idx="39">
                        <c:v>2020</c:v>
                      </c:pt>
                      <c:pt idx="40">
                        <c:v>2021</c:v>
                      </c:pt>
                      <c:pt idx="41">
                        <c:v>2022</c:v>
                      </c:pt>
                      <c:pt idx="42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FBF-43DD-AE1E-B7CAF75ED71D}"/>
                  </c:ext>
                </c:extLst>
              </c15:ser>
            </c15:filteredLineSeries>
          </c:ext>
        </c:extLst>
      </c:lineChart>
      <c:catAx>
        <c:axId val="1756792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56794543"/>
        <c:crosses val="autoZero"/>
        <c:auto val="1"/>
        <c:lblAlgn val="ctr"/>
        <c:lblOffset val="100"/>
        <c:noMultiLvlLbl val="0"/>
      </c:catAx>
      <c:valAx>
        <c:axId val="1756794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56792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1998345</xdr:colOff>
      <xdr:row>3</xdr:row>
      <xdr:rowOff>53340</xdr:rowOff>
    </xdr:to>
    <xdr:pic>
      <xdr:nvPicPr>
        <xdr:cNvPr id="2" name="Imagem 1" descr="LogoMarca_Agrovale">
          <a:extLst>
            <a:ext uri="{FF2B5EF4-FFF2-40B4-BE49-F238E27FC236}">
              <a16:creationId xmlns:a16="http://schemas.microsoft.com/office/drawing/2014/main" id="{5D04A924-A921-4185-8A17-5413747C23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7625"/>
          <a:ext cx="1866900" cy="596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35</xdr:row>
      <xdr:rowOff>4762</xdr:rowOff>
    </xdr:from>
    <xdr:to>
      <xdr:col>7</xdr:col>
      <xdr:colOff>857250</xdr:colOff>
      <xdr:row>49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2DEE7C-A5BE-C745-DB14-C29F298CFC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248992</xdr:colOff>
      <xdr:row>13</xdr:row>
      <xdr:rowOff>169545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5FB7879-4621-1BAB-D51A-048B71DAD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3162" cy="2657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248992</xdr:colOff>
      <xdr:row>14</xdr:row>
      <xdr:rowOff>17145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BAF6D15-C1D6-463A-BD04-52C2F8E9E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3162" cy="2558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8</xdr:col>
      <xdr:colOff>323850</xdr:colOff>
      <xdr:row>44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F7EA56-A724-4454-B373-77DA9B3BE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140970</xdr:rowOff>
    </xdr:from>
    <xdr:to>
      <xdr:col>7</xdr:col>
      <xdr:colOff>323850</xdr:colOff>
      <xdr:row>41</xdr:row>
      <xdr:rowOff>96202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8C06F6-D70B-4A85-BEB4-630AFA11C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moura\AppData\Local\Microsoft\Windows\INetCache\Content.Outlook\3J0YF1RJ\1-Anexo-Financeiro-atualizado%20072023.xlsx" TargetMode="External"/><Relationship Id="rId1" Type="http://schemas.openxmlformats.org/officeDocument/2006/relationships/externalLinkPath" Target="file:///\\Users\jmoura\AppData\Local\Microsoft\Windows\INetCache\Content.Outlook\3J0YF1RJ\1-Anexo-Financeiro-atualizado%252007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73d6a7d306da35\Agrovale\Agrovale\Industria\hist%2520saf%25202023%25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viso"/>
      <sheetName val="Modelagem 12.22"/>
      <sheetName val="Planejamento Agricola"/>
      <sheetName val="Balancete não auditado 12.22"/>
      <sheetName val="Dre não Auditado 12.22"/>
      <sheetName val="Dívida-Principal"/>
      <sheetName val="Mercado"/>
      <sheetName val="Comercialização&amp;Produção em A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J5">
            <v>1.0495000000000001</v>
          </cell>
        </row>
        <row r="6">
          <cell r="J6">
            <v>1.7492000000000001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2"/>
      <sheetName val="Plan1"/>
    </sheetNames>
    <sheetDataSet>
      <sheetData sheetId="0"/>
      <sheetData sheetId="1">
        <row r="6">
          <cell r="AA6" t="str">
            <v>Atr Produzido</v>
          </cell>
        </row>
        <row r="7">
          <cell r="B7">
            <v>1980</v>
          </cell>
          <cell r="AA7">
            <v>8340.9012500000008</v>
          </cell>
        </row>
        <row r="8">
          <cell r="B8">
            <v>1981</v>
          </cell>
          <cell r="AA8">
            <v>19512.787425000002</v>
          </cell>
        </row>
        <row r="9">
          <cell r="B9">
            <v>1982</v>
          </cell>
          <cell r="AA9">
            <v>26227.084150000002</v>
          </cell>
        </row>
        <row r="10">
          <cell r="B10">
            <v>1983</v>
          </cell>
          <cell r="AA10">
            <v>28663.467250000005</v>
          </cell>
        </row>
        <row r="11">
          <cell r="B11">
            <v>1984</v>
          </cell>
          <cell r="AA11">
            <v>62574.799483800009</v>
          </cell>
        </row>
        <row r="12">
          <cell r="B12">
            <v>1985</v>
          </cell>
          <cell r="AA12">
            <v>57805.015000000007</v>
          </cell>
        </row>
        <row r="13">
          <cell r="B13">
            <v>1986</v>
          </cell>
          <cell r="AA13">
            <v>66658.79856000001</v>
          </cell>
        </row>
        <row r="14">
          <cell r="B14">
            <v>1987</v>
          </cell>
          <cell r="AA14">
            <v>73105.897550000009</v>
          </cell>
        </row>
        <row r="15">
          <cell r="B15">
            <v>1988</v>
          </cell>
          <cell r="AA15">
            <v>77978.904029099998</v>
          </cell>
        </row>
        <row r="16">
          <cell r="B16">
            <v>1989</v>
          </cell>
          <cell r="AA16">
            <v>81719.726834500019</v>
          </cell>
        </row>
        <row r="17">
          <cell r="B17">
            <v>1990</v>
          </cell>
          <cell r="AA17">
            <v>66661.138449999999</v>
          </cell>
        </row>
        <row r="18">
          <cell r="B18">
            <v>1991</v>
          </cell>
          <cell r="AA18">
            <v>96564.967564200007</v>
          </cell>
        </row>
        <row r="19">
          <cell r="B19">
            <v>1992</v>
          </cell>
          <cell r="AA19">
            <v>91068.904750000016</v>
          </cell>
        </row>
        <row r="20">
          <cell r="B20">
            <v>1993</v>
          </cell>
          <cell r="AA20">
            <v>105074.52790410002</v>
          </cell>
        </row>
        <row r="21">
          <cell r="B21">
            <v>1994</v>
          </cell>
          <cell r="AA21">
            <v>125428.11125000002</v>
          </cell>
        </row>
        <row r="22">
          <cell r="B22">
            <v>1995</v>
          </cell>
          <cell r="AA22">
            <v>134658.83632000003</v>
          </cell>
        </row>
        <row r="23">
          <cell r="B23">
            <v>1996</v>
          </cell>
          <cell r="AA23">
            <v>134191.96550595001</v>
          </cell>
        </row>
        <row r="24">
          <cell r="B24">
            <v>1997</v>
          </cell>
          <cell r="AA24">
            <v>150190.04360912502</v>
          </cell>
        </row>
        <row r="25">
          <cell r="B25">
            <v>1998</v>
          </cell>
          <cell r="AA25">
            <v>157859.270758125</v>
          </cell>
        </row>
        <row r="26">
          <cell r="B26">
            <v>1999</v>
          </cell>
          <cell r="AA26">
            <v>166716.89156312501</v>
          </cell>
        </row>
        <row r="27">
          <cell r="B27">
            <v>2000</v>
          </cell>
          <cell r="AA27">
            <v>156996.71290062502</v>
          </cell>
        </row>
        <row r="28">
          <cell r="B28">
            <v>2001</v>
          </cell>
          <cell r="AA28">
            <v>146137.60251500001</v>
          </cell>
        </row>
        <row r="29">
          <cell r="B29">
            <v>2002</v>
          </cell>
          <cell r="AA29">
            <v>164185.20423812504</v>
          </cell>
        </row>
        <row r="30">
          <cell r="B30">
            <v>2003</v>
          </cell>
          <cell r="AA30">
            <v>185719.32770843754</v>
          </cell>
        </row>
        <row r="31">
          <cell r="B31">
            <v>2004</v>
          </cell>
          <cell r="AA31">
            <v>179267.86699275003</v>
          </cell>
        </row>
        <row r="32">
          <cell r="B32">
            <v>2005</v>
          </cell>
          <cell r="AA32">
            <v>188206.85935840625</v>
          </cell>
        </row>
        <row r="33">
          <cell r="B33">
            <v>2006</v>
          </cell>
          <cell r="AA33">
            <v>184174.20239375002</v>
          </cell>
        </row>
        <row r="34">
          <cell r="B34">
            <v>2007</v>
          </cell>
          <cell r="AA34">
            <v>199006.263225</v>
          </cell>
        </row>
        <row r="35">
          <cell r="B35">
            <v>2008</v>
          </cell>
          <cell r="AA35">
            <v>183753.84267725001</v>
          </cell>
        </row>
        <row r="36">
          <cell r="B36">
            <v>2009</v>
          </cell>
          <cell r="AA36">
            <v>171079.18172466345</v>
          </cell>
        </row>
        <row r="37">
          <cell r="B37">
            <v>2010</v>
          </cell>
          <cell r="AA37">
            <v>180066.56040840625</v>
          </cell>
        </row>
        <row r="38">
          <cell r="B38">
            <v>2011</v>
          </cell>
          <cell r="AA38">
            <v>188292.26402139795</v>
          </cell>
        </row>
        <row r="39">
          <cell r="B39">
            <v>2012</v>
          </cell>
          <cell r="AA39">
            <v>170150.3445697969</v>
          </cell>
        </row>
        <row r="40">
          <cell r="B40">
            <v>2013</v>
          </cell>
          <cell r="AA40">
            <v>198024.38129343133</v>
          </cell>
        </row>
        <row r="41">
          <cell r="B41">
            <v>2014</v>
          </cell>
          <cell r="AA41">
            <v>190951.36051903749</v>
          </cell>
        </row>
        <row r="42">
          <cell r="B42">
            <v>2015</v>
          </cell>
          <cell r="AA42">
            <v>233818.26517275607</v>
          </cell>
        </row>
        <row r="43">
          <cell r="B43">
            <v>2016</v>
          </cell>
          <cell r="AA43">
            <v>221950.03682770001</v>
          </cell>
        </row>
        <row r="44">
          <cell r="B44">
            <v>2017</v>
          </cell>
          <cell r="AA44">
            <v>229154.08336393751</v>
          </cell>
        </row>
        <row r="45">
          <cell r="B45">
            <v>2018</v>
          </cell>
          <cell r="AA45">
            <v>240322.86630337502</v>
          </cell>
        </row>
        <row r="46">
          <cell r="B46">
            <v>2019</v>
          </cell>
          <cell r="AA46">
            <v>265289.19692993752</v>
          </cell>
        </row>
        <row r="47">
          <cell r="B47">
            <v>2020</v>
          </cell>
          <cell r="AA47">
            <v>225348.71834541249</v>
          </cell>
        </row>
        <row r="48">
          <cell r="B48">
            <v>2021</v>
          </cell>
          <cell r="AA48">
            <v>241230.15299371252</v>
          </cell>
        </row>
        <row r="49">
          <cell r="B49">
            <v>2022</v>
          </cell>
          <cell r="AA49">
            <v>206496.46866000001</v>
          </cell>
        </row>
        <row r="50">
          <cell r="B50">
            <v>2023</v>
          </cell>
          <cell r="AA50">
            <v>254499.12500000003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E7C0F-7976-460A-A7EF-C302E46E41C6}">
  <dimension ref="A1"/>
  <sheetViews>
    <sheetView showGridLines="0" workbookViewId="0">
      <selection activeCell="D16" sqref="D16"/>
    </sheetView>
  </sheetViews>
  <sheetFormatPr defaultRowHeight="14.4" x14ac:dyDescent="0.3"/>
  <cols>
    <col min="1" max="1" width="90.6640625" customWidth="1"/>
  </cols>
  <sheetData>
    <row r="1" spans="1:1" ht="72" x14ac:dyDescent="0.3">
      <c r="A1" s="7" t="s">
        <v>21</v>
      </c>
    </row>
  </sheetData>
  <sheetProtection algorithmName="SHA-512" hashValue="fK/KcSaYDs5ESEyuZ+o9y3ft55BHZfA0qBprmWusEs2GbIWf6lEngy5cD5jYuT11CMahdeCDW9r1ph8YUi9aqA==" saltValue="u/SjD5gPVIbQwGAAIq5Rug==" spinCount="100000" sheet="1"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CEAA7-6B44-4D44-A3B6-E68FC77AC24B}">
  <dimension ref="A1:AL114"/>
  <sheetViews>
    <sheetView workbookViewId="0">
      <selection activeCell="A12" sqref="A12:A13"/>
    </sheetView>
  </sheetViews>
  <sheetFormatPr defaultColWidth="9.109375" defaultRowHeight="14.4" x14ac:dyDescent="0.3"/>
  <cols>
    <col min="1" max="1" width="48.109375" style="195" customWidth="1"/>
    <col min="2" max="2" width="8.5546875" style="195" customWidth="1"/>
    <col min="3" max="3" width="12" style="192" customWidth="1"/>
    <col min="4" max="4" width="12" style="192" hidden="1" customWidth="1"/>
    <col min="5" max="5" width="12.88671875" style="192" customWidth="1"/>
    <col min="6" max="6" width="12.88671875" style="192" hidden="1" customWidth="1"/>
    <col min="7" max="7" width="14" style="192" customWidth="1"/>
    <col min="8" max="8" width="11.109375" style="192" hidden="1" customWidth="1"/>
    <col min="9" max="9" width="14" style="192" customWidth="1"/>
    <col min="10" max="10" width="12.109375" style="192" hidden="1" customWidth="1"/>
    <col min="11" max="11" width="14" style="192" customWidth="1"/>
    <col min="12" max="12" width="12.109375" style="192" hidden="1" customWidth="1"/>
    <col min="13" max="13" width="14" style="192" customWidth="1"/>
    <col min="14" max="14" width="11.109375" style="192" hidden="1" customWidth="1"/>
    <col min="15" max="15" width="14" style="192" customWidth="1"/>
    <col min="16" max="16" width="11.109375" style="192" hidden="1" customWidth="1"/>
    <col min="17" max="17" width="14" style="192" customWidth="1"/>
    <col min="18" max="18" width="11.109375" style="192" hidden="1" customWidth="1"/>
    <col min="19" max="19" width="11.5546875" style="192" customWidth="1"/>
    <col min="20" max="20" width="11.5546875" style="192" hidden="1" customWidth="1"/>
    <col min="21" max="21" width="11.5546875" style="192" customWidth="1"/>
    <col min="22" max="22" width="11.5546875" style="192" hidden="1" customWidth="1"/>
    <col min="23" max="23" width="11.5546875" style="192" bestFit="1" customWidth="1"/>
    <col min="24" max="24" width="11.5546875" style="192" hidden="1" customWidth="1"/>
    <col min="25" max="25" width="11.5546875" style="192" bestFit="1" customWidth="1"/>
    <col min="26" max="26" width="11.5546875" style="192" hidden="1" customWidth="1"/>
    <col min="27" max="27" width="15.33203125" style="195" bestFit="1" customWidth="1"/>
    <col min="28" max="28" width="14" style="195" bestFit="1" customWidth="1"/>
    <col min="29" max="29" width="14.88671875" style="195" bestFit="1" customWidth="1"/>
    <col min="30" max="30" width="16.6640625" style="195" bestFit="1" customWidth="1"/>
    <col min="31" max="31" width="12.33203125" style="195" bestFit="1" customWidth="1"/>
    <col min="32" max="32" width="10.33203125" style="195" bestFit="1" customWidth="1"/>
    <col min="33" max="33" width="11.5546875" style="195" bestFit="1" customWidth="1"/>
    <col min="34" max="35" width="9.109375" style="195"/>
    <col min="36" max="36" width="10.44140625" style="195" bestFit="1" customWidth="1"/>
    <col min="37" max="16384" width="9.109375" style="195"/>
  </cols>
  <sheetData>
    <row r="1" spans="1:34" ht="23.4" x14ac:dyDescent="0.45">
      <c r="A1" s="191" t="s">
        <v>322</v>
      </c>
      <c r="B1" s="71"/>
      <c r="K1" s="193" t="s">
        <v>216</v>
      </c>
      <c r="L1" s="193"/>
      <c r="M1" s="194">
        <f>M2/50</f>
        <v>2.7605926315789473</v>
      </c>
      <c r="N1" s="194"/>
      <c r="O1" s="194"/>
      <c r="P1" s="194"/>
      <c r="S1" s="194"/>
      <c r="T1" s="194"/>
      <c r="AE1" s="422" t="s">
        <v>45</v>
      </c>
      <c r="AF1" s="423"/>
    </row>
    <row r="2" spans="1:34" x14ac:dyDescent="0.3">
      <c r="A2"/>
      <c r="C2" s="195"/>
      <c r="D2" s="195"/>
      <c r="M2" s="192">
        <f>M4*0.89</f>
        <v>138.02963157894737</v>
      </c>
      <c r="AC2" s="195" t="s">
        <v>361</v>
      </c>
      <c r="AE2" s="3" t="s">
        <v>46</v>
      </c>
      <c r="AF2" s="3">
        <f>AF4*50</f>
        <v>52.475000000000009</v>
      </c>
    </row>
    <row r="3" spans="1:34" x14ac:dyDescent="0.3">
      <c r="C3" s="196">
        <v>45383</v>
      </c>
      <c r="D3" s="196"/>
      <c r="E3" s="196">
        <v>45413</v>
      </c>
      <c r="F3" s="196"/>
      <c r="G3" s="434">
        <v>45444</v>
      </c>
      <c r="H3" s="434"/>
      <c r="I3" s="434">
        <v>45474</v>
      </c>
      <c r="J3" s="434"/>
      <c r="K3" s="434">
        <v>45139</v>
      </c>
      <c r="L3" s="434"/>
      <c r="M3" s="434">
        <v>45170</v>
      </c>
      <c r="N3" s="434"/>
      <c r="O3" s="434">
        <v>45200</v>
      </c>
      <c r="P3" s="434"/>
      <c r="Q3" s="434">
        <v>45231</v>
      </c>
      <c r="R3" s="434"/>
      <c r="S3" s="196">
        <v>45261</v>
      </c>
      <c r="T3" s="196"/>
      <c r="U3" s="196">
        <v>45292</v>
      </c>
      <c r="V3" s="196"/>
      <c r="W3" s="196">
        <v>45323</v>
      </c>
      <c r="X3" s="196"/>
      <c r="Y3" s="196">
        <v>45352</v>
      </c>
      <c r="Z3" s="196"/>
      <c r="AA3" s="195" t="s">
        <v>217</v>
      </c>
      <c r="AB3" s="195" t="s">
        <v>218</v>
      </c>
      <c r="AC3" s="195" t="s">
        <v>217</v>
      </c>
      <c r="AE3" s="3" t="s">
        <v>47</v>
      </c>
      <c r="AF3" s="3">
        <f>AF4*30</f>
        <v>31.485000000000003</v>
      </c>
    </row>
    <row r="4" spans="1:34" x14ac:dyDescent="0.3">
      <c r="B4" s="197" t="s">
        <v>214</v>
      </c>
      <c r="C4" s="198">
        <v>142.32105263157894</v>
      </c>
      <c r="D4" s="198"/>
      <c r="E4" s="198">
        <v>144.45263157894738</v>
      </c>
      <c r="F4" s="198"/>
      <c r="G4" s="198">
        <v>142.33684210526317</v>
      </c>
      <c r="H4" s="198"/>
      <c r="I4" s="198">
        <v>146.34736842105264</v>
      </c>
      <c r="J4" s="198"/>
      <c r="K4" s="198">
        <v>152.35263157894738</v>
      </c>
      <c r="L4" s="198"/>
      <c r="M4" s="198">
        <v>155.08947368421053</v>
      </c>
      <c r="N4" s="198"/>
      <c r="O4" s="198">
        <v>154.45263157894738</v>
      </c>
      <c r="P4" s="198"/>
      <c r="Q4" s="198"/>
      <c r="R4" s="198"/>
      <c r="AE4" s="3" t="s">
        <v>49</v>
      </c>
      <c r="AF4" s="3">
        <v>1.0495000000000001</v>
      </c>
    </row>
    <row r="5" spans="1:34" s="203" customFormat="1" x14ac:dyDescent="0.3">
      <c r="A5" s="199" t="s">
        <v>219</v>
      </c>
      <c r="B5" s="200" t="s">
        <v>220</v>
      </c>
      <c r="C5" s="201">
        <v>85</v>
      </c>
      <c r="D5" s="201"/>
      <c r="E5" s="201">
        <v>88</v>
      </c>
      <c r="F5" s="201"/>
      <c r="G5" s="201">
        <v>87</v>
      </c>
      <c r="H5" s="201"/>
      <c r="I5" s="201">
        <v>88</v>
      </c>
      <c r="J5" s="201"/>
      <c r="K5" s="201">
        <v>88.5</v>
      </c>
      <c r="L5" s="201"/>
      <c r="M5" s="201">
        <v>88.75</v>
      </c>
      <c r="N5" s="201"/>
      <c r="O5" s="201">
        <v>88.5</v>
      </c>
      <c r="P5" s="201"/>
      <c r="Q5" s="201"/>
      <c r="R5" s="201"/>
      <c r="S5" s="202"/>
      <c r="T5" s="202"/>
      <c r="U5" s="202"/>
      <c r="V5" s="202"/>
      <c r="W5" s="202"/>
      <c r="X5" s="202"/>
      <c r="Y5" s="202"/>
      <c r="Z5" s="202"/>
      <c r="AC5" s="203">
        <v>88.55</v>
      </c>
      <c r="AE5" s="3" t="s">
        <v>50</v>
      </c>
      <c r="AF5" s="3">
        <v>1.7492000000000001</v>
      </c>
    </row>
    <row r="6" spans="1:34" s="203" customFormat="1" x14ac:dyDescent="0.3">
      <c r="A6" s="199"/>
      <c r="B6" s="200" t="s">
        <v>221</v>
      </c>
      <c r="C6" s="201">
        <f>C5-100</f>
        <v>-15</v>
      </c>
      <c r="D6" s="201"/>
      <c r="E6" s="201">
        <f>E5-100</f>
        <v>-12</v>
      </c>
      <c r="F6" s="201"/>
      <c r="G6" s="201">
        <f t="shared" ref="G6" si="0">G5-100</f>
        <v>-13</v>
      </c>
      <c r="H6" s="201"/>
      <c r="I6" s="201">
        <f t="shared" ref="I6" si="1">I5-100</f>
        <v>-12</v>
      </c>
      <c r="J6" s="201"/>
      <c r="K6" s="201">
        <f t="shared" ref="K6" si="2">K5-100</f>
        <v>-11.5</v>
      </c>
      <c r="L6" s="201"/>
      <c r="M6" s="201">
        <f t="shared" ref="M6" si="3">M5-100</f>
        <v>-11.25</v>
      </c>
      <c r="N6" s="201"/>
      <c r="O6" s="201">
        <f>O5-100</f>
        <v>-11.5</v>
      </c>
      <c r="P6" s="201"/>
      <c r="Q6" s="201"/>
      <c r="R6" s="201"/>
      <c r="S6" s="202"/>
      <c r="T6" s="202"/>
      <c r="U6" s="202"/>
      <c r="V6" s="202"/>
      <c r="W6" s="202"/>
      <c r="X6" s="202"/>
      <c r="Y6" s="202"/>
      <c r="Z6" s="202"/>
      <c r="AC6" s="201">
        <f>AC5-100</f>
        <v>-11.450000000000003</v>
      </c>
      <c r="AE6" s="3" t="s">
        <v>51</v>
      </c>
      <c r="AF6" s="3">
        <v>1.6760999999999999</v>
      </c>
    </row>
    <row r="7" spans="1:34" x14ac:dyDescent="0.3">
      <c r="C7" s="195"/>
      <c r="D7" s="19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AE7" s="3" t="s">
        <v>93</v>
      </c>
      <c r="AF7" s="3">
        <f>AF2*20</f>
        <v>1049.5000000000002</v>
      </c>
    </row>
    <row r="8" spans="1:34" x14ac:dyDescent="0.3"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204"/>
      <c r="T8" s="204"/>
    </row>
    <row r="9" spans="1:34" x14ac:dyDescent="0.3">
      <c r="C9" s="205"/>
      <c r="D9" s="205"/>
      <c r="S9" s="204"/>
      <c r="T9" s="204"/>
      <c r="AB9" s="206"/>
      <c r="AC9" s="206"/>
    </row>
    <row r="10" spans="1:34" x14ac:dyDescent="0.3">
      <c r="E10" s="207"/>
      <c r="F10" s="207"/>
      <c r="G10" s="207"/>
      <c r="H10" s="207"/>
      <c r="AC10" s="208" t="s">
        <v>222</v>
      </c>
      <c r="AD10" s="195" t="s">
        <v>223</v>
      </c>
      <c r="AE10" s="206">
        <f>(AC21*AF2+AC22*AF5)/AC11</f>
        <v>134.87065789473687</v>
      </c>
      <c r="AF10" s="195">
        <v>-6</v>
      </c>
      <c r="AG10" s="206">
        <f>AE10+AF10</f>
        <v>128.87065789473687</v>
      </c>
    </row>
    <row r="11" spans="1:34" ht="19.5" customHeight="1" x14ac:dyDescent="0.3">
      <c r="A11" s="209" t="s">
        <v>224</v>
      </c>
      <c r="B11" s="209" t="s">
        <v>225</v>
      </c>
      <c r="C11" s="210">
        <v>60139.999999999993</v>
      </c>
      <c r="D11" s="210"/>
      <c r="E11" s="210">
        <v>301600</v>
      </c>
      <c r="F11" s="210"/>
      <c r="G11" s="210">
        <v>283500</v>
      </c>
      <c r="H11" s="210"/>
      <c r="I11" s="210">
        <v>315000</v>
      </c>
      <c r="J11" s="210"/>
      <c r="K11" s="210">
        <v>318500</v>
      </c>
      <c r="L11" s="210"/>
      <c r="M11" s="210">
        <v>308000</v>
      </c>
      <c r="N11" s="210"/>
      <c r="O11" s="210">
        <v>313260</v>
      </c>
      <c r="P11" s="210"/>
      <c r="Q11" s="210"/>
      <c r="R11" s="210"/>
      <c r="S11" s="210"/>
      <c r="T11" s="210"/>
      <c r="U11" s="211"/>
      <c r="V11" s="211"/>
      <c r="W11" s="212"/>
      <c r="X11" s="212"/>
      <c r="Y11" s="213"/>
      <c r="Z11" s="213"/>
      <c r="AA11" s="214">
        <f>E11+G11+I11+K11+M11+O11+C11</f>
        <v>1900000</v>
      </c>
      <c r="AB11" s="214">
        <f>D11+F11+H11+J11+L11+N11+P11</f>
        <v>0</v>
      </c>
      <c r="AC11" s="215">
        <f>C11+E11+G11+I11+K11+M11+O11</f>
        <v>1900000</v>
      </c>
      <c r="AD11" s="192" t="s">
        <v>226</v>
      </c>
      <c r="AE11" s="216" t="s">
        <v>227</v>
      </c>
      <c r="AF11" s="72" t="s">
        <v>228</v>
      </c>
    </row>
    <row r="12" spans="1:34" s="203" customFormat="1" ht="19.5" customHeight="1" x14ac:dyDescent="0.3">
      <c r="A12" s="432" t="s">
        <v>229</v>
      </c>
      <c r="B12" s="217" t="s">
        <v>87</v>
      </c>
      <c r="C12" s="218">
        <v>72.5</v>
      </c>
      <c r="D12" s="218"/>
      <c r="E12" s="218">
        <v>72.5</v>
      </c>
      <c r="F12" s="218"/>
      <c r="G12" s="218">
        <v>72.5</v>
      </c>
      <c r="H12" s="218"/>
      <c r="I12" s="218">
        <v>72.5</v>
      </c>
      <c r="J12" s="218"/>
      <c r="K12" s="218">
        <v>72.5</v>
      </c>
      <c r="L12" s="218"/>
      <c r="M12" s="218">
        <v>72.5</v>
      </c>
      <c r="N12" s="218"/>
      <c r="O12" s="218">
        <v>72.5</v>
      </c>
      <c r="P12" s="218"/>
      <c r="Q12" s="218"/>
      <c r="R12" s="218"/>
      <c r="S12" s="219"/>
      <c r="T12" s="219"/>
      <c r="U12" s="220"/>
      <c r="V12" s="220"/>
      <c r="W12" s="220"/>
      <c r="X12" s="220"/>
      <c r="Y12" s="220"/>
      <c r="Z12" s="220"/>
      <c r="AA12" s="221">
        <f>($E$12*$E$11+G12*G11+I12*I11+K12*K11+M11*M12+O11*O12+C11*C12)/($E$11+G11+I11+K11+M11+O11+C11)</f>
        <v>72.5</v>
      </c>
      <c r="AB12" s="221"/>
      <c r="AC12" s="222">
        <f>AA12</f>
        <v>72.5</v>
      </c>
      <c r="AD12" s="223">
        <f>SUM(C14:Y14)</f>
        <v>1377500</v>
      </c>
      <c r="AE12" s="202"/>
    </row>
    <row r="13" spans="1:34" s="203" customFormat="1" ht="19.5" customHeight="1" x14ac:dyDescent="0.3">
      <c r="A13" s="433"/>
      <c r="B13" s="217" t="s">
        <v>230</v>
      </c>
      <c r="C13" s="218">
        <f t="shared" ref="C13" si="4">100-C12</f>
        <v>27.5</v>
      </c>
      <c r="D13" s="218"/>
      <c r="E13" s="218">
        <f t="shared" ref="E13" si="5">100-E12</f>
        <v>27.5</v>
      </c>
      <c r="F13" s="218"/>
      <c r="G13" s="218">
        <f t="shared" ref="G13" si="6">100-G12</f>
        <v>27.5</v>
      </c>
      <c r="H13" s="218"/>
      <c r="I13" s="218">
        <f t="shared" ref="I13" si="7">100-I12</f>
        <v>27.5</v>
      </c>
      <c r="J13" s="218"/>
      <c r="K13" s="218">
        <f t="shared" ref="K13" si="8">100-K12</f>
        <v>27.5</v>
      </c>
      <c r="L13" s="218"/>
      <c r="M13" s="218">
        <f t="shared" ref="M13" si="9">100-M12</f>
        <v>27.5</v>
      </c>
      <c r="N13" s="218"/>
      <c r="O13" s="218">
        <f t="shared" ref="O13" si="10">100-O12</f>
        <v>27.5</v>
      </c>
      <c r="P13" s="218"/>
      <c r="Q13" s="218"/>
      <c r="R13" s="218"/>
      <c r="S13" s="219"/>
      <c r="T13" s="219"/>
      <c r="U13" s="220"/>
      <c r="V13" s="220"/>
      <c r="W13" s="220"/>
      <c r="X13" s="220"/>
      <c r="Y13" s="220"/>
      <c r="Z13" s="220"/>
      <c r="AA13" s="221">
        <f>100-AA12</f>
        <v>27.5</v>
      </c>
      <c r="AB13" s="221">
        <f>100-AB12</f>
        <v>100</v>
      </c>
      <c r="AC13" s="222">
        <f>100-AC12</f>
        <v>27.5</v>
      </c>
      <c r="AD13" s="202" t="s">
        <v>231</v>
      </c>
      <c r="AE13" s="202"/>
    </row>
    <row r="14" spans="1:34" ht="19.5" customHeight="1" x14ac:dyDescent="0.3">
      <c r="C14" s="194">
        <f>C11*C12*0.01</f>
        <v>43601.499999999993</v>
      </c>
      <c r="D14" s="194"/>
      <c r="E14" s="194">
        <f t="shared" ref="E14" si="11">E11*E12*0.01</f>
        <v>218660</v>
      </c>
      <c r="F14" s="194"/>
      <c r="G14" s="194">
        <f t="shared" ref="G14" si="12">G11*G12*0.01</f>
        <v>205537.5</v>
      </c>
      <c r="H14" s="194"/>
      <c r="I14" s="194">
        <f t="shared" ref="I14" si="13">I11*I12*0.01</f>
        <v>228375</v>
      </c>
      <c r="J14" s="194"/>
      <c r="K14" s="194">
        <f t="shared" ref="K14" si="14">K11*K12*0.01</f>
        <v>230912.5</v>
      </c>
      <c r="L14" s="194"/>
      <c r="M14" s="194">
        <f t="shared" ref="M14" si="15">M11*M12*0.01</f>
        <v>223300</v>
      </c>
      <c r="N14" s="194"/>
      <c r="O14" s="194">
        <f t="shared" ref="O14" si="16">O11*O12*0.01</f>
        <v>227113.5</v>
      </c>
      <c r="P14" s="194"/>
      <c r="Q14" s="194"/>
      <c r="R14" s="194"/>
      <c r="S14" s="194"/>
      <c r="T14" s="194"/>
      <c r="AA14" s="192"/>
      <c r="AB14" s="194"/>
      <c r="AC14" s="224"/>
      <c r="AD14" s="207">
        <f>AA31</f>
        <v>3550000</v>
      </c>
      <c r="AE14" s="225">
        <f>AD14/AD12</f>
        <v>2.5771324863883849</v>
      </c>
      <c r="AF14" s="226">
        <f>AD12/AA11</f>
        <v>0.72499999999999998</v>
      </c>
      <c r="AG14" s="206">
        <f>AD14*AF2/1000</f>
        <v>186286.25000000003</v>
      </c>
      <c r="AH14" s="195" t="s">
        <v>323</v>
      </c>
    </row>
    <row r="15" spans="1:34" ht="19.5" hidden="1" customHeight="1" x14ac:dyDescent="0.3">
      <c r="A15" s="209" t="s">
        <v>232</v>
      </c>
      <c r="B15" s="209" t="s">
        <v>233</v>
      </c>
      <c r="C15" s="227">
        <v>0</v>
      </c>
      <c r="D15" s="227"/>
      <c r="E15" s="228">
        <f t="shared" ref="E15" si="17">E21/(E12*E11)</f>
        <v>2.492454038232873E-2</v>
      </c>
      <c r="F15" s="228"/>
      <c r="G15" s="228">
        <f t="shared" ref="G15" si="18">G21/(G12*G11)</f>
        <v>2.4569725719151007E-2</v>
      </c>
      <c r="H15" s="228"/>
      <c r="I15" s="228">
        <f t="shared" ref="I15" si="19">I21/(I12*I11)</f>
        <v>2.5177887246852763E-2</v>
      </c>
      <c r="J15" s="228"/>
      <c r="K15" s="228">
        <f t="shared" ref="K15" si="20">K21/(K12*K11)</f>
        <v>2.6416932820873706E-2</v>
      </c>
      <c r="L15" s="228"/>
      <c r="M15" s="228">
        <f t="shared" ref="M15" si="21">M21/(M12*M11)</f>
        <v>2.6869682042095836E-2</v>
      </c>
      <c r="N15" s="228"/>
      <c r="O15" s="228">
        <f t="shared" ref="O15" si="22">O21/(O12*O11)</f>
        <v>2.6638663047330959E-2</v>
      </c>
      <c r="P15" s="228"/>
      <c r="Q15" s="228"/>
      <c r="R15" s="228"/>
      <c r="S15" s="211"/>
      <c r="T15" s="211"/>
      <c r="U15" s="211"/>
      <c r="V15" s="211"/>
      <c r="W15" s="213"/>
      <c r="X15" s="213"/>
      <c r="Y15" s="213"/>
      <c r="Z15" s="213"/>
      <c r="AA15" s="229">
        <f>SUM(C21:Y21)/SUM(C14:Y14)</f>
        <v>2.5771324863883849</v>
      </c>
      <c r="AB15" s="192"/>
      <c r="AC15" s="230"/>
      <c r="AD15" s="192" t="s">
        <v>234</v>
      </c>
      <c r="AE15" s="192"/>
      <c r="AF15" s="226"/>
    </row>
    <row r="16" spans="1:34" ht="19.5" hidden="1" customHeight="1" x14ac:dyDescent="0.3">
      <c r="A16" s="231"/>
      <c r="B16" s="231"/>
      <c r="C16" s="227"/>
      <c r="D16" s="227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11"/>
      <c r="T16" s="211"/>
      <c r="U16" s="211"/>
      <c r="V16" s="211"/>
      <c r="W16" s="211"/>
      <c r="X16" s="211"/>
      <c r="Y16" s="211"/>
      <c r="Z16" s="211"/>
      <c r="AA16" s="232"/>
      <c r="AB16" s="192"/>
      <c r="AC16" s="230"/>
      <c r="AD16" s="207">
        <f>AA11-AD12</f>
        <v>522500</v>
      </c>
      <c r="AE16" s="194"/>
      <c r="AF16" s="226">
        <f>AD16/AA11</f>
        <v>0.27500000000000002</v>
      </c>
    </row>
    <row r="17" spans="1:38" ht="19.5" hidden="1" customHeight="1" x14ac:dyDescent="0.3">
      <c r="A17" s="209" t="s">
        <v>235</v>
      </c>
      <c r="B17" s="209" t="s">
        <v>236</v>
      </c>
      <c r="C17" s="227">
        <v>0</v>
      </c>
      <c r="D17" s="227"/>
      <c r="E17" s="228">
        <v>17.5</v>
      </c>
      <c r="F17" s="228"/>
      <c r="G17" s="228">
        <v>18.5</v>
      </c>
      <c r="H17" s="228"/>
      <c r="I17" s="228">
        <v>19.5</v>
      </c>
      <c r="J17" s="228"/>
      <c r="K17" s="228">
        <v>20.5</v>
      </c>
      <c r="L17" s="228"/>
      <c r="M17" s="228">
        <v>21.5</v>
      </c>
      <c r="N17" s="228"/>
      <c r="O17" s="228">
        <v>22.5</v>
      </c>
      <c r="P17" s="228"/>
      <c r="Q17" s="228"/>
      <c r="R17" s="228"/>
      <c r="S17" s="211"/>
      <c r="T17" s="211"/>
      <c r="U17" s="211"/>
      <c r="V17" s="211"/>
      <c r="W17" s="213"/>
      <c r="X17" s="213"/>
      <c r="Y17" s="213"/>
      <c r="Z17" s="213"/>
      <c r="AA17" s="229">
        <f>MEDIAN(E17:Q17)</f>
        <v>20</v>
      </c>
      <c r="AB17" s="192"/>
      <c r="AC17" s="230"/>
      <c r="AD17" s="192" t="s">
        <v>237</v>
      </c>
      <c r="AE17" s="192"/>
    </row>
    <row r="18" spans="1:38" ht="19.5" hidden="1" customHeight="1" x14ac:dyDescent="0.3">
      <c r="A18" s="233" t="s">
        <v>238</v>
      </c>
      <c r="B18" s="209" t="s">
        <v>236</v>
      </c>
      <c r="C18" s="227">
        <v>0</v>
      </c>
      <c r="D18" s="227"/>
      <c r="E18" s="228">
        <f t="shared" ref="E18" si="23">(E22-(E11*E12*E17))/(E13*E11)</f>
        <v>-45.412949119845671</v>
      </c>
      <c r="F18" s="228"/>
      <c r="G18" s="228">
        <f t="shared" ref="G18" si="24">(G22-(G11*G12*G17))/(G13*G11)</f>
        <v>-48.067259900593235</v>
      </c>
      <c r="H18" s="228"/>
      <c r="I18" s="228">
        <f t="shared" ref="I18" si="25">(I22-(I11*I12*I17))/(I13*I11)</f>
        <v>-50.658730158730158</v>
      </c>
      <c r="J18" s="228"/>
      <c r="K18" s="228">
        <f t="shared" ref="K18" si="26">(K22-(K11*K12*K17))/(K13*K11)</f>
        <v>-53.24625374625375</v>
      </c>
      <c r="L18" s="228"/>
      <c r="M18" s="228">
        <f t="shared" ref="M18" si="27">(M22-(M11*M12*M17))/(M13*M11)</f>
        <v>-55.855371900826448</v>
      </c>
      <c r="N18" s="228"/>
      <c r="O18" s="228">
        <f t="shared" ref="O18" si="28">(O22-(O11*O12*O17))/(O13*O11)</f>
        <v>-58.50561253214002</v>
      </c>
      <c r="P18" s="228"/>
      <c r="Q18" s="228"/>
      <c r="R18" s="228"/>
      <c r="S18" s="211"/>
      <c r="T18" s="211"/>
      <c r="U18" s="211"/>
      <c r="V18" s="211"/>
      <c r="W18" s="213"/>
      <c r="X18" s="213"/>
      <c r="Y18" s="213"/>
      <c r="Z18" s="213"/>
      <c r="AA18" s="229">
        <f>MEDIAN(E18:Q18)</f>
        <v>-51.952491952491954</v>
      </c>
      <c r="AB18" s="192"/>
      <c r="AC18" s="230"/>
      <c r="AD18" s="207">
        <f>SUM(E19:Y19)</f>
        <v>-2633701625</v>
      </c>
      <c r="AE18" s="194">
        <f>AD18/AD16</f>
        <v>-5040.5772727272724</v>
      </c>
    </row>
    <row r="19" spans="1:38" ht="19.5" hidden="1" customHeight="1" x14ac:dyDescent="0.3">
      <c r="C19" s="234">
        <f t="shared" ref="C19" si="29">C11*C13*C18</f>
        <v>0</v>
      </c>
      <c r="D19" s="234"/>
      <c r="E19" s="234">
        <f t="shared" ref="E19" si="30">E11*E13*E18</f>
        <v>-376655000</v>
      </c>
      <c r="F19" s="234"/>
      <c r="G19" s="234">
        <f t="shared" ref="G19" si="31">G11*G13*G18</f>
        <v>-374744375</v>
      </c>
      <c r="H19" s="234"/>
      <c r="I19" s="234">
        <f t="shared" ref="I19" si="32">I11*I13*I18</f>
        <v>-438831250</v>
      </c>
      <c r="J19" s="234"/>
      <c r="K19" s="234">
        <f t="shared" ref="K19" si="33">K11*K13*K18</f>
        <v>-466370625.00000006</v>
      </c>
      <c r="L19" s="234"/>
      <c r="M19" s="234">
        <f t="shared" ref="M19" si="34">M11*M13*M18</f>
        <v>-473095000</v>
      </c>
      <c r="N19" s="234"/>
      <c r="O19" s="234">
        <f t="shared" ref="O19" si="35">O11*O13*O18</f>
        <v>-504005375</v>
      </c>
      <c r="P19" s="234"/>
      <c r="Q19" s="234"/>
      <c r="R19" s="234"/>
      <c r="S19" s="234"/>
      <c r="T19" s="234"/>
      <c r="AA19" s="235"/>
      <c r="AB19" s="192"/>
      <c r="AC19" s="230"/>
      <c r="AD19" s="192" t="s">
        <v>239</v>
      </c>
      <c r="AE19" s="194"/>
    </row>
    <row r="20" spans="1:38" ht="19.5" customHeight="1" x14ac:dyDescent="0.3"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AA20" s="235"/>
      <c r="AB20" s="192"/>
      <c r="AC20" s="230"/>
      <c r="AD20" s="192"/>
      <c r="AE20" s="194"/>
    </row>
    <row r="21" spans="1:38" s="203" customFormat="1" ht="19.5" customHeight="1" x14ac:dyDescent="0.3">
      <c r="A21" s="236" t="s">
        <v>240</v>
      </c>
      <c r="B21" s="237" t="s">
        <v>241</v>
      </c>
      <c r="C21" s="238">
        <v>110000</v>
      </c>
      <c r="D21" s="238"/>
      <c r="E21" s="238">
        <v>545000</v>
      </c>
      <c r="F21" s="238"/>
      <c r="G21" s="238">
        <v>505000</v>
      </c>
      <c r="H21" s="239"/>
      <c r="I21" s="238">
        <v>575000</v>
      </c>
      <c r="J21" s="238"/>
      <c r="K21" s="238">
        <v>610000</v>
      </c>
      <c r="L21" s="238"/>
      <c r="M21" s="238">
        <v>600000</v>
      </c>
      <c r="N21" s="238"/>
      <c r="O21" s="238">
        <v>605000</v>
      </c>
      <c r="P21" s="238"/>
      <c r="Q21" s="238"/>
      <c r="R21" s="238"/>
      <c r="S21" s="240"/>
      <c r="T21" s="240"/>
      <c r="U21" s="220"/>
      <c r="V21" s="220"/>
      <c r="W21" s="220"/>
      <c r="X21" s="220"/>
      <c r="Y21" s="220"/>
      <c r="Z21" s="220"/>
      <c r="AA21" s="214">
        <f>E21+G21+I21+K21+M21+O21+C21</f>
        <v>3550000</v>
      </c>
      <c r="AB21" s="214">
        <f>F21+D21+J21+L21+N21+P21+H21</f>
        <v>0</v>
      </c>
      <c r="AC21" s="215">
        <f>C21+E21+G21+I21+K21+M21+O21</f>
        <v>3550000</v>
      </c>
      <c r="AD21" s="241">
        <f>SUM(E23:Y23)</f>
        <v>0</v>
      </c>
      <c r="AE21" s="242">
        <f>AD21/AD12</f>
        <v>0</v>
      </c>
    </row>
    <row r="22" spans="1:38" s="203" customFormat="1" ht="19.5" customHeight="1" x14ac:dyDescent="0.3">
      <c r="A22" s="236" t="s">
        <v>242</v>
      </c>
      <c r="B22" s="236" t="s">
        <v>243</v>
      </c>
      <c r="C22" s="238">
        <v>1000000</v>
      </c>
      <c r="D22" s="238"/>
      <c r="E22" s="238">
        <v>6000000</v>
      </c>
      <c r="F22" s="238"/>
      <c r="G22" s="238">
        <v>5500000</v>
      </c>
      <c r="H22" s="239"/>
      <c r="I22" s="238">
        <v>6500000</v>
      </c>
      <c r="J22" s="238"/>
      <c r="K22" s="238">
        <v>7000000</v>
      </c>
      <c r="L22" s="238"/>
      <c r="M22" s="238">
        <v>7000000</v>
      </c>
      <c r="N22" s="238"/>
      <c r="O22" s="238">
        <v>7000000</v>
      </c>
      <c r="P22" s="238"/>
      <c r="Q22" s="238"/>
      <c r="R22" s="238"/>
      <c r="S22" s="240"/>
      <c r="T22" s="240"/>
      <c r="U22" s="220"/>
      <c r="V22" s="220"/>
      <c r="W22" s="220"/>
      <c r="X22" s="220"/>
      <c r="Y22" s="220"/>
      <c r="Z22" s="220"/>
      <c r="AA22" s="214">
        <f>E22+G22+I22+K22+M22+O22+C22</f>
        <v>40000000</v>
      </c>
      <c r="AB22" s="214">
        <f>F22+H22+J22+L22+N22+P22+D22</f>
        <v>0</v>
      </c>
      <c r="AC22" s="215">
        <f>C22+E22+G22+I22+K22+M22+O22</f>
        <v>40000000</v>
      </c>
      <c r="AD22" s="202" t="s">
        <v>244</v>
      </c>
      <c r="AE22" s="202"/>
      <c r="AG22" s="314">
        <f>AC22*AF5/1000</f>
        <v>69968</v>
      </c>
      <c r="AH22" s="203" t="s">
        <v>324</v>
      </c>
    </row>
    <row r="23" spans="1:38" ht="19.5" customHeight="1" x14ac:dyDescent="0.3"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Y23" s="192" t="s">
        <v>48</v>
      </c>
      <c r="AA23" s="235"/>
      <c r="AB23" s="192"/>
      <c r="AC23" s="230"/>
      <c r="AD23" s="244">
        <f>AD18+AD21</f>
        <v>-2633701625</v>
      </c>
      <c r="AE23" s="192"/>
      <c r="AG23" s="206">
        <f>AG22+AG14</f>
        <v>256254.25000000003</v>
      </c>
      <c r="AH23" s="195" t="s">
        <v>325</v>
      </c>
    </row>
    <row r="24" spans="1:38" ht="19.5" customHeight="1" x14ac:dyDescent="0.3">
      <c r="A24" s="245" t="s">
        <v>245</v>
      </c>
      <c r="B24" s="245"/>
      <c r="C24" s="246"/>
      <c r="D24" s="246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AA24" s="207"/>
      <c r="AB24" s="192"/>
      <c r="AC24" s="230"/>
      <c r="AD24" s="192"/>
      <c r="AE24" s="192"/>
      <c r="AG24" s="206">
        <f>-AG49</f>
        <v>-173393.14250000002</v>
      </c>
      <c r="AH24" s="206">
        <f>Y50</f>
        <v>150000</v>
      </c>
      <c r="AJ24" s="206">
        <f>AG23+AG25</f>
        <v>187047.67676</v>
      </c>
    </row>
    <row r="25" spans="1:38" s="253" customFormat="1" ht="19.5" customHeight="1" x14ac:dyDescent="0.3">
      <c r="A25" s="247" t="s">
        <v>246</v>
      </c>
      <c r="B25" s="248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50"/>
      <c r="AB25" s="251"/>
      <c r="AC25" s="252"/>
      <c r="AD25" s="251"/>
      <c r="AE25" s="251"/>
      <c r="AG25" s="253">
        <f>-AF5*AA52/1000</f>
        <v>-69206.573240000012</v>
      </c>
      <c r="AI25" s="253" t="s">
        <v>326</v>
      </c>
      <c r="AJ25" s="253">
        <f>-(Y51+W51++U51)</f>
        <v>-26919.675000000003</v>
      </c>
    </row>
    <row r="26" spans="1:38" ht="19.5" customHeight="1" x14ac:dyDescent="0.3">
      <c r="A26" s="209" t="s">
        <v>247</v>
      </c>
      <c r="B26" s="209" t="s">
        <v>248</v>
      </c>
      <c r="C26" s="254">
        <v>0</v>
      </c>
      <c r="D26" s="254"/>
      <c r="E26" s="254">
        <f t="shared" ref="E26:O26" si="36">E29*0.6/E31</f>
        <v>0.37798128440366968</v>
      </c>
      <c r="F26" s="254"/>
      <c r="G26" s="254">
        <f t="shared" si="36"/>
        <v>0.41584158415841582</v>
      </c>
      <c r="H26" s="254"/>
      <c r="I26" s="254">
        <f>I29*0.6/I31</f>
        <v>0.34086991304347825</v>
      </c>
      <c r="J26" s="254"/>
      <c r="K26" s="254">
        <f>K29*0.6/K31</f>
        <v>0.36065606557377045</v>
      </c>
      <c r="L26" s="254"/>
      <c r="M26" s="254">
        <f t="shared" si="36"/>
        <v>0.35833299999999996</v>
      </c>
      <c r="N26" s="254"/>
      <c r="O26" s="254">
        <f t="shared" si="36"/>
        <v>0.30413256198347105</v>
      </c>
      <c r="P26" s="254"/>
      <c r="Q26" s="254"/>
      <c r="R26" s="254"/>
      <c r="S26" s="254"/>
      <c r="T26" s="254"/>
      <c r="U26" s="255"/>
      <c r="V26" s="255"/>
      <c r="W26" s="255"/>
      <c r="X26" s="255"/>
      <c r="Y26" s="255"/>
      <c r="Z26" s="255"/>
      <c r="AA26" s="256">
        <f>(AA30+AA29)*0.6/AA31</f>
        <v>0.50873239436619722</v>
      </c>
      <c r="AB26" s="256" t="e">
        <f>(AB30+AB29)*0.6/AB31</f>
        <v>#DIV/0!</v>
      </c>
      <c r="AC26" s="257">
        <f>(AC30+AC29)*0.6/AC31</f>
        <v>0.50873239436619722</v>
      </c>
      <c r="AD26" s="192"/>
      <c r="AE26" s="192"/>
      <c r="AG26" s="206">
        <f>AG23+AG24+AG25</f>
        <v>13654.53426</v>
      </c>
      <c r="AI26" s="195" t="s">
        <v>327</v>
      </c>
      <c r="AJ26" s="206">
        <f>-SUM(C49:S49)*AF2/1000</f>
        <v>-138602.21750000003</v>
      </c>
    </row>
    <row r="27" spans="1:38" ht="19.5" customHeight="1" x14ac:dyDescent="0.3">
      <c r="A27" s="233" t="s">
        <v>249</v>
      </c>
      <c r="B27" s="233" t="s">
        <v>250</v>
      </c>
      <c r="C27" s="210">
        <f>C21*50-C28*50-C29*30-C30*30</f>
        <v>-249990</v>
      </c>
      <c r="D27" s="210"/>
      <c r="E27" s="210">
        <f>E21*50-E28*50-E29*30-E30*30</f>
        <v>9750010</v>
      </c>
      <c r="F27" s="210"/>
      <c r="G27" s="210">
        <f>G21*50-G28*50-G29*30-G30*30</f>
        <v>8750000</v>
      </c>
      <c r="H27" s="258"/>
      <c r="I27" s="210">
        <f>I21*50-I28*50-I29*30-I30*30</f>
        <v>11749990</v>
      </c>
      <c r="J27" s="210"/>
      <c r="K27" s="210">
        <f>K21*50-K28*50-K29*30-K30*30</f>
        <v>11499990</v>
      </c>
      <c r="L27" s="210"/>
      <c r="M27" s="210">
        <f>M21*50-M28*50-M29*30-M30*30</f>
        <v>11250010</v>
      </c>
      <c r="N27" s="210"/>
      <c r="O27" s="210">
        <f>O21*50-O28*50-O29*30-O30*30</f>
        <v>11249990</v>
      </c>
      <c r="P27" s="210"/>
      <c r="Q27" s="210">
        <f>(Q21-(Q28)-(Q29*0.6)-(Q30*0.6))*50</f>
        <v>-6000000</v>
      </c>
      <c r="R27" s="210"/>
      <c r="S27" s="210">
        <f>(S21-(S28)-(S29*0.6)-(S30*0.6))*50</f>
        <v>-6000000</v>
      </c>
      <c r="T27" s="210"/>
      <c r="U27" s="210">
        <f>(U21-(U28)-(U29*0.6)-(U30*0.6))*50</f>
        <v>-6000000</v>
      </c>
      <c r="V27" s="210"/>
      <c r="W27" s="210">
        <f t="shared" ref="W27" si="37">(W21-(W28)-(W29*0.6)-(W30*0.6))*50</f>
        <v>-3300000</v>
      </c>
      <c r="X27" s="210"/>
      <c r="Y27" s="210"/>
      <c r="Z27" s="210"/>
      <c r="AA27" s="214">
        <f>C27+E27+G27+I27+K27+M27+O27+Q27+S27+U27+W27+Y27</f>
        <v>42700000</v>
      </c>
      <c r="AB27" s="214">
        <f t="shared" ref="AB27:AB35" si="38">F27+H27+J27+L27+N27+P27+D27</f>
        <v>0</v>
      </c>
      <c r="AC27" s="215">
        <f>AA27</f>
        <v>42700000</v>
      </c>
      <c r="AD27" s="207"/>
      <c r="AE27" s="192"/>
      <c r="AI27" s="195" t="s">
        <v>328</v>
      </c>
      <c r="AJ27" s="206">
        <f>AJ24+AJ25+AJ26</f>
        <v>21525.784259999986</v>
      </c>
      <c r="AK27" s="206">
        <f>AJ27/1.05</f>
        <v>20500.746914285701</v>
      </c>
      <c r="AL27" s="206"/>
    </row>
    <row r="28" spans="1:38" ht="19.5" customHeight="1" x14ac:dyDescent="0.3">
      <c r="A28" s="209" t="s">
        <v>251</v>
      </c>
      <c r="B28" s="209" t="s">
        <v>241</v>
      </c>
      <c r="C28" s="210">
        <v>50000</v>
      </c>
      <c r="D28" s="210"/>
      <c r="E28" s="210">
        <v>120000</v>
      </c>
      <c r="F28" s="210"/>
      <c r="G28" s="210">
        <v>120000</v>
      </c>
      <c r="H28" s="210"/>
      <c r="I28" s="210">
        <v>120000</v>
      </c>
      <c r="J28" s="210"/>
      <c r="K28" s="210">
        <v>160000</v>
      </c>
      <c r="L28" s="210"/>
      <c r="M28" s="210">
        <v>160000</v>
      </c>
      <c r="N28" s="210"/>
      <c r="O28" s="210">
        <v>160000</v>
      </c>
      <c r="P28" s="210"/>
      <c r="Q28" s="210"/>
      <c r="R28" s="210"/>
      <c r="S28" s="210">
        <v>0</v>
      </c>
      <c r="T28" s="210"/>
      <c r="U28" s="210">
        <v>0</v>
      </c>
      <c r="V28" s="210"/>
      <c r="W28" s="210"/>
      <c r="X28" s="210"/>
      <c r="Y28" s="210"/>
      <c r="Z28" s="210"/>
      <c r="AA28" s="214">
        <f>C28+E28+G28+I28+K28+M28+O28+Q28</f>
        <v>890000</v>
      </c>
      <c r="AB28" s="214">
        <f t="shared" si="38"/>
        <v>0</v>
      </c>
      <c r="AC28" s="215">
        <f>C28+E28+G28+I28+K28+M28+O28</f>
        <v>890000</v>
      </c>
      <c r="AD28" s="192"/>
      <c r="AE28" s="192"/>
      <c r="AI28" t="s">
        <v>329</v>
      </c>
      <c r="AJ28" s="296">
        <f>AG25+AJ25+AJ26</f>
        <v>-234728.46574000004</v>
      </c>
    </row>
    <row r="29" spans="1:38" ht="19.5" customHeight="1" x14ac:dyDescent="0.3">
      <c r="A29" s="209" t="s">
        <v>252</v>
      </c>
      <c r="B29" s="209" t="s">
        <v>253</v>
      </c>
      <c r="C29" s="210">
        <f>108333-C30</f>
        <v>68333</v>
      </c>
      <c r="D29" s="210"/>
      <c r="E29" s="210">
        <f>383333-E30</f>
        <v>343333</v>
      </c>
      <c r="F29" s="210"/>
      <c r="G29" s="210">
        <f>350000-G30</f>
        <v>350000</v>
      </c>
      <c r="H29" s="210"/>
      <c r="I29" s="210">
        <f>366667-I30</f>
        <v>326667</v>
      </c>
      <c r="J29" s="210"/>
      <c r="K29" s="210">
        <f>366667-K30</f>
        <v>366667</v>
      </c>
      <c r="L29" s="210"/>
      <c r="M29" s="210">
        <f>358333-M30</f>
        <v>358333</v>
      </c>
      <c r="N29" s="210"/>
      <c r="O29" s="210">
        <f>366667-O30-P30</f>
        <v>306667</v>
      </c>
      <c r="P29" s="210"/>
      <c r="Q29" s="210">
        <v>200000</v>
      </c>
      <c r="R29" s="210"/>
      <c r="S29" s="210">
        <v>200000</v>
      </c>
      <c r="T29" s="210"/>
      <c r="U29" s="210">
        <v>200000</v>
      </c>
      <c r="V29" s="210"/>
      <c r="W29" s="210">
        <v>110000</v>
      </c>
      <c r="X29" s="210"/>
      <c r="Y29" s="210"/>
      <c r="Z29" s="210"/>
      <c r="AA29" s="214">
        <f>C29+E29+G29+I29+K29+M29+O29+Q29+S29+U29+W29+Y29</f>
        <v>2830000</v>
      </c>
      <c r="AB29" s="214">
        <f t="shared" si="38"/>
        <v>0</v>
      </c>
      <c r="AC29" s="215">
        <f>AA29</f>
        <v>2830000</v>
      </c>
      <c r="AD29" s="192"/>
      <c r="AE29" s="192"/>
    </row>
    <row r="30" spans="1:38" ht="19.5" customHeight="1" x14ac:dyDescent="0.3">
      <c r="A30" s="233" t="s">
        <v>254</v>
      </c>
      <c r="B30" s="209" t="s">
        <v>253</v>
      </c>
      <c r="C30" s="210">
        <v>40000</v>
      </c>
      <c r="D30" s="210"/>
      <c r="E30" s="210">
        <v>40000</v>
      </c>
      <c r="F30" s="210"/>
      <c r="G30" s="210">
        <v>0</v>
      </c>
      <c r="H30" s="210"/>
      <c r="I30" s="210">
        <v>40000</v>
      </c>
      <c r="J30" s="210"/>
      <c r="K30" s="210">
        <v>0</v>
      </c>
      <c r="L30" s="210"/>
      <c r="M30" s="210">
        <v>0</v>
      </c>
      <c r="N30" s="210"/>
      <c r="O30" s="210">
        <v>60000</v>
      </c>
      <c r="P30" s="210">
        <v>0</v>
      </c>
      <c r="Q30" s="210"/>
      <c r="R30" s="210"/>
      <c r="S30" s="210"/>
      <c r="T30" s="210"/>
      <c r="U30" s="210"/>
      <c r="V30" s="210"/>
      <c r="W30" s="210">
        <v>0</v>
      </c>
      <c r="X30" s="210"/>
      <c r="Y30" s="210"/>
      <c r="Z30" s="210"/>
      <c r="AA30" s="214">
        <f t="shared" ref="AA30:AA35" si="39">C30+E30+G30+I30+K30+M30+O30+Q30</f>
        <v>180000</v>
      </c>
      <c r="AB30" s="214">
        <f t="shared" si="38"/>
        <v>0</v>
      </c>
      <c r="AC30" s="215">
        <f>C30+E30+G30+I30+K30+M30+O30+P30</f>
        <v>180000</v>
      </c>
      <c r="AD30" s="192">
        <v>133837</v>
      </c>
      <c r="AE30" s="192"/>
    </row>
    <row r="31" spans="1:38" ht="19.5" customHeight="1" x14ac:dyDescent="0.3">
      <c r="A31" s="73" t="s">
        <v>255</v>
      </c>
      <c r="B31" s="73" t="s">
        <v>241</v>
      </c>
      <c r="C31" s="259">
        <f>C30*0.6+C29*0.6+C28+C27/50</f>
        <v>109999.99999999999</v>
      </c>
      <c r="D31" s="259"/>
      <c r="E31" s="259">
        <f>E30*0.6+E29*0.6+E28+E27/50</f>
        <v>545000</v>
      </c>
      <c r="F31" s="259"/>
      <c r="G31" s="259">
        <f t="shared" ref="G31:Y31" si="40">G30*0.6+G29*0.6+G28+G27/50</f>
        <v>505000</v>
      </c>
      <c r="H31" s="259"/>
      <c r="I31" s="259">
        <f t="shared" si="40"/>
        <v>575000</v>
      </c>
      <c r="J31" s="259"/>
      <c r="K31" s="259">
        <f t="shared" si="40"/>
        <v>610000</v>
      </c>
      <c r="L31" s="259"/>
      <c r="M31" s="259">
        <f t="shared" si="40"/>
        <v>600000</v>
      </c>
      <c r="N31" s="259"/>
      <c r="O31" s="259">
        <f t="shared" si="40"/>
        <v>605000</v>
      </c>
      <c r="P31" s="259"/>
      <c r="Q31" s="259"/>
      <c r="R31" s="259"/>
      <c r="S31" s="259">
        <f>S30*0.6+S29*0.6+S28+S27/50</f>
        <v>0</v>
      </c>
      <c r="T31" s="259"/>
      <c r="U31" s="259">
        <f t="shared" si="40"/>
        <v>0</v>
      </c>
      <c r="V31" s="259"/>
      <c r="W31" s="259">
        <f t="shared" si="40"/>
        <v>0</v>
      </c>
      <c r="X31" s="259"/>
      <c r="Y31" s="259">
        <f t="shared" si="40"/>
        <v>0</v>
      </c>
      <c r="Z31" s="259"/>
      <c r="AA31" s="214">
        <f>C31+E31+G31+I31+K31+M31+O31+Q31</f>
        <v>3550000</v>
      </c>
      <c r="AB31" s="214">
        <f t="shared" si="38"/>
        <v>0</v>
      </c>
      <c r="AC31" s="215">
        <f>(AC27/50)+AC28+((AC29+AC30)*0.6)</f>
        <v>3550000</v>
      </c>
      <c r="AD31" s="207"/>
      <c r="AE31" s="207"/>
    </row>
    <row r="32" spans="1:38" ht="19.5" customHeight="1" x14ac:dyDescent="0.3">
      <c r="A32" s="209" t="s">
        <v>256</v>
      </c>
      <c r="B32" s="209" t="s">
        <v>257</v>
      </c>
      <c r="C32" s="210">
        <f>C22-C33</f>
        <v>1000000</v>
      </c>
      <c r="D32" s="210"/>
      <c r="E32" s="210">
        <f t="shared" ref="E32:O32" si="41">E22-E33</f>
        <v>5900000</v>
      </c>
      <c r="F32" s="210"/>
      <c r="G32" s="210">
        <f t="shared" si="41"/>
        <v>5400000</v>
      </c>
      <c r="H32" s="210">
        <f t="shared" si="41"/>
        <v>0</v>
      </c>
      <c r="I32" s="210">
        <f t="shared" si="41"/>
        <v>6400000</v>
      </c>
      <c r="J32" s="210">
        <f t="shared" si="41"/>
        <v>0</v>
      </c>
      <c r="K32" s="210">
        <f t="shared" si="41"/>
        <v>6900000</v>
      </c>
      <c r="L32" s="210">
        <f t="shared" si="41"/>
        <v>0</v>
      </c>
      <c r="M32" s="210">
        <f t="shared" si="41"/>
        <v>7000000</v>
      </c>
      <c r="N32" s="210">
        <f t="shared" si="41"/>
        <v>0</v>
      </c>
      <c r="O32" s="210">
        <f t="shared" si="41"/>
        <v>6900000</v>
      </c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4">
        <f t="shared" si="39"/>
        <v>39500000</v>
      </c>
      <c r="AB32" s="214">
        <f t="shared" si="38"/>
        <v>0</v>
      </c>
      <c r="AC32" s="215">
        <f>C32+E32+G32+I32+K32+M32+O32+P32</f>
        <v>39500000</v>
      </c>
      <c r="AD32" s="207">
        <f>AA47/50</f>
        <v>300000</v>
      </c>
      <c r="AE32" s="192"/>
    </row>
    <row r="33" spans="1:34" ht="19.5" customHeight="1" x14ac:dyDescent="0.3">
      <c r="A33" s="209" t="s">
        <v>258</v>
      </c>
      <c r="B33" s="209" t="s">
        <v>257</v>
      </c>
      <c r="C33" s="210">
        <v>0</v>
      </c>
      <c r="D33" s="210"/>
      <c r="E33" s="210">
        <v>100000</v>
      </c>
      <c r="F33" s="210"/>
      <c r="G33" s="210">
        <v>100000</v>
      </c>
      <c r="H33" s="210"/>
      <c r="I33" s="210">
        <v>100000</v>
      </c>
      <c r="J33" s="210"/>
      <c r="K33" s="210">
        <v>100000</v>
      </c>
      <c r="L33" s="210"/>
      <c r="M33" s="210"/>
      <c r="N33" s="210"/>
      <c r="O33" s="210">
        <v>100000</v>
      </c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4">
        <f t="shared" si="39"/>
        <v>500000</v>
      </c>
      <c r="AB33" s="214">
        <f t="shared" si="38"/>
        <v>0</v>
      </c>
      <c r="AC33" s="215">
        <f>C33+E33+G33+I33+K33+M33+O33+P33</f>
        <v>500000</v>
      </c>
      <c r="AD33" s="192"/>
      <c r="AE33" s="207"/>
    </row>
    <row r="34" spans="1:34" ht="19.5" customHeight="1" x14ac:dyDescent="0.3">
      <c r="A34" s="73" t="s">
        <v>259</v>
      </c>
      <c r="B34" s="73" t="s">
        <v>257</v>
      </c>
      <c r="C34" s="259">
        <f>C32+C33</f>
        <v>1000000</v>
      </c>
      <c r="D34" s="259"/>
      <c r="E34" s="259">
        <f>E32+E33</f>
        <v>6000000</v>
      </c>
      <c r="F34" s="259"/>
      <c r="G34" s="259">
        <f t="shared" ref="G34" si="42">G32+G33</f>
        <v>5500000</v>
      </c>
      <c r="H34" s="259"/>
      <c r="I34" s="259">
        <f t="shared" ref="I34:S34" si="43">I32+I33</f>
        <v>6500000</v>
      </c>
      <c r="J34" s="259"/>
      <c r="K34" s="259">
        <f t="shared" si="43"/>
        <v>7000000</v>
      </c>
      <c r="L34" s="259"/>
      <c r="M34" s="259">
        <f t="shared" si="43"/>
        <v>7000000</v>
      </c>
      <c r="N34" s="259"/>
      <c r="O34" s="259">
        <f t="shared" si="43"/>
        <v>7000000</v>
      </c>
      <c r="P34" s="259"/>
      <c r="Q34" s="259"/>
      <c r="R34" s="259"/>
      <c r="S34" s="259">
        <f t="shared" si="43"/>
        <v>0</v>
      </c>
      <c r="T34" s="259"/>
      <c r="U34" s="211"/>
      <c r="V34" s="211"/>
      <c r="W34" s="211"/>
      <c r="X34" s="211"/>
      <c r="Y34" s="211"/>
      <c r="Z34" s="211"/>
      <c r="AA34" s="214">
        <f t="shared" si="39"/>
        <v>40000000</v>
      </c>
      <c r="AB34" s="214">
        <f t="shared" si="38"/>
        <v>0</v>
      </c>
      <c r="AC34" s="215">
        <f>AC32+AC33</f>
        <v>40000000</v>
      </c>
      <c r="AD34" s="192"/>
      <c r="AE34" s="192"/>
    </row>
    <row r="35" spans="1:34" ht="19.5" customHeight="1" x14ac:dyDescent="0.3">
      <c r="A35" s="233" t="s">
        <v>260</v>
      </c>
      <c r="B35" s="209" t="s">
        <v>261</v>
      </c>
      <c r="C35" s="260">
        <v>1080</v>
      </c>
      <c r="D35" s="260"/>
      <c r="E35" s="260">
        <v>1860</v>
      </c>
      <c r="F35" s="260"/>
      <c r="G35" s="260">
        <v>1800</v>
      </c>
      <c r="H35" s="260"/>
      <c r="I35" s="260">
        <v>1860</v>
      </c>
      <c r="J35" s="260"/>
      <c r="K35" s="260">
        <v>1860</v>
      </c>
      <c r="L35" s="260"/>
      <c r="M35" s="260">
        <v>1800</v>
      </c>
      <c r="N35" s="260"/>
      <c r="O35" s="260">
        <v>1860</v>
      </c>
      <c r="P35" s="260"/>
      <c r="Q35" s="260">
        <v>880</v>
      </c>
      <c r="R35" s="260"/>
      <c r="S35" s="260"/>
      <c r="T35" s="260"/>
      <c r="U35" s="260"/>
      <c r="V35" s="260"/>
      <c r="W35" s="260"/>
      <c r="X35" s="260"/>
      <c r="Y35" s="260"/>
      <c r="Z35" s="260"/>
      <c r="AA35" s="214">
        <f t="shared" si="39"/>
        <v>13000</v>
      </c>
      <c r="AB35" s="214">
        <f t="shared" si="38"/>
        <v>0</v>
      </c>
      <c r="AC35" s="215">
        <f>C35+E35+G35+I35+K35+M35+O35+P35+Q35</f>
        <v>13000</v>
      </c>
      <c r="AD35" s="192"/>
      <c r="AE35" s="192"/>
    </row>
    <row r="36" spans="1:34" ht="19.5" customHeight="1" x14ac:dyDescent="0.3">
      <c r="E36" s="194"/>
      <c r="F36" s="194"/>
      <c r="I36" s="261"/>
      <c r="J36" s="261"/>
      <c r="K36" s="207"/>
      <c r="L36" s="207"/>
      <c r="AA36" s="192"/>
      <c r="AB36" s="192"/>
      <c r="AC36" s="192"/>
      <c r="AD36" s="192"/>
      <c r="AE36" s="262"/>
    </row>
    <row r="37" spans="1:34" ht="19.5" customHeight="1" x14ac:dyDescent="0.3">
      <c r="A37" s="263" t="s">
        <v>262</v>
      </c>
      <c r="C37" s="244">
        <f>C31-C49</f>
        <v>-59500.000000000015</v>
      </c>
      <c r="D37" s="244"/>
      <c r="E37" s="244">
        <f>E31-E49</f>
        <v>252500</v>
      </c>
      <c r="F37" s="244"/>
      <c r="G37" s="244">
        <f>G31-G49</f>
        <v>199900</v>
      </c>
      <c r="H37" s="244"/>
      <c r="I37" s="244">
        <f t="shared" ref="I37:O37" si="44">I31-I49</f>
        <v>282500</v>
      </c>
      <c r="J37" s="244"/>
      <c r="K37" s="244">
        <f>K31-K49</f>
        <v>365100</v>
      </c>
      <c r="L37" s="244"/>
      <c r="M37" s="244">
        <f t="shared" si="44"/>
        <v>385300</v>
      </c>
      <c r="N37" s="244"/>
      <c r="O37" s="244">
        <f t="shared" si="44"/>
        <v>242700</v>
      </c>
      <c r="P37" s="244"/>
      <c r="Q37" s="244"/>
      <c r="R37" s="244"/>
      <c r="S37" s="244"/>
      <c r="T37" s="244"/>
      <c r="U37" s="244"/>
      <c r="V37" s="244"/>
      <c r="W37" s="244"/>
      <c r="X37" s="244"/>
      <c r="AA37" s="207"/>
      <c r="AB37" s="207"/>
      <c r="AC37" s="207"/>
      <c r="AD37" s="207">
        <f>SUM(E29:Q29)-SUM(E43:Q43)</f>
        <v>621667</v>
      </c>
      <c r="AE37" s="192"/>
    </row>
    <row r="38" spans="1:34" ht="19.5" customHeight="1" x14ac:dyDescent="0.3">
      <c r="A38" s="263"/>
      <c r="G38" s="244">
        <f>E37+G37</f>
        <v>452400</v>
      </c>
      <c r="H38" s="244"/>
      <c r="I38" s="244">
        <f>G38+I37</f>
        <v>734900</v>
      </c>
      <c r="J38" s="244"/>
      <c r="K38" s="244">
        <f>I38+K37</f>
        <v>1100000</v>
      </c>
      <c r="L38" s="244"/>
      <c r="M38" s="244">
        <f>K38+M37</f>
        <v>1485300</v>
      </c>
      <c r="N38" s="244"/>
      <c r="O38" s="244">
        <f>M38+O37</f>
        <v>1728000</v>
      </c>
      <c r="P38" s="244"/>
      <c r="Q38" s="244"/>
      <c r="R38" s="244"/>
      <c r="AA38" s="207" t="s">
        <v>217</v>
      </c>
      <c r="AB38" s="192" t="s">
        <v>218</v>
      </c>
      <c r="AC38" s="192" t="s">
        <v>263</v>
      </c>
      <c r="AD38" s="192"/>
      <c r="AE38" s="192"/>
    </row>
    <row r="39" spans="1:34" ht="19.5" customHeight="1" x14ac:dyDescent="0.3">
      <c r="A39" s="209" t="s">
        <v>264</v>
      </c>
      <c r="B39" s="264" t="s">
        <v>265</v>
      </c>
      <c r="C39" s="254">
        <v>0</v>
      </c>
      <c r="D39" s="254"/>
      <c r="E39" s="254">
        <f>(E43*0.6)/E49</f>
        <v>0.51282051282051277</v>
      </c>
      <c r="F39" s="254"/>
      <c r="G39" s="254">
        <f>(G43*0.6)/G49</f>
        <v>0.53097345132743368</v>
      </c>
      <c r="H39" s="254"/>
      <c r="I39" s="254">
        <f t="shared" ref="I39:Y39" si="45">(I43*0.6)/I49</f>
        <v>0.51282051282051277</v>
      </c>
      <c r="J39" s="254"/>
      <c r="K39" s="254">
        <f t="shared" si="45"/>
        <v>0.5634953042057983</v>
      </c>
      <c r="L39" s="254"/>
      <c r="M39" s="254">
        <f t="shared" si="45"/>
        <v>0.53097345132743368</v>
      </c>
      <c r="N39" s="254"/>
      <c r="O39" s="254">
        <f t="shared" si="45"/>
        <v>0.34777808446039193</v>
      </c>
      <c r="P39" s="254"/>
      <c r="Q39" s="254"/>
      <c r="R39" s="254"/>
      <c r="S39" s="254">
        <f t="shared" si="45"/>
        <v>0.28755990831423212</v>
      </c>
      <c r="T39" s="254"/>
      <c r="U39" s="254">
        <f t="shared" si="45"/>
        <v>0.54298642533936647</v>
      </c>
      <c r="V39" s="254"/>
      <c r="W39" s="254">
        <f t="shared" si="45"/>
        <v>0.54298642533936647</v>
      </c>
      <c r="X39" s="254"/>
      <c r="Y39" s="254">
        <f t="shared" si="45"/>
        <v>0.54298642533936647</v>
      </c>
      <c r="Z39" s="254"/>
      <c r="AA39" s="265">
        <f>AA43*0.6/AA49</f>
        <v>0.47392791211451746</v>
      </c>
      <c r="AB39" s="265" t="e">
        <f>AB43*0.6/AB49</f>
        <v>#DIV/0!</v>
      </c>
      <c r="AC39" s="265">
        <f>AC43*0.6/AC49</f>
        <v>0.53724053724053722</v>
      </c>
      <c r="AD39" s="192"/>
      <c r="AE39" s="192"/>
    </row>
    <row r="40" spans="1:34" ht="19.5" customHeight="1" x14ac:dyDescent="0.3">
      <c r="B40" s="266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25"/>
      <c r="Z40" s="225"/>
      <c r="AA40" s="268"/>
      <c r="AB40" s="269"/>
      <c r="AC40" s="269"/>
      <c r="AD40" s="192"/>
      <c r="AE40" s="192"/>
      <c r="AH40" s="195">
        <f>60*4</f>
        <v>240</v>
      </c>
    </row>
    <row r="41" spans="1:34" ht="19.5" customHeight="1" x14ac:dyDescent="0.3">
      <c r="A41" s="233" t="s">
        <v>266</v>
      </c>
      <c r="B41" s="209" t="s">
        <v>241</v>
      </c>
      <c r="C41" s="210">
        <v>50000</v>
      </c>
      <c r="D41" s="210"/>
      <c r="E41" s="210">
        <f>60000+50000</f>
        <v>110000</v>
      </c>
      <c r="F41" s="210"/>
      <c r="G41" s="210">
        <f>50000+60000</f>
        <v>110000</v>
      </c>
      <c r="H41" s="210"/>
      <c r="I41" s="210">
        <f>50000+60000</f>
        <v>110000</v>
      </c>
      <c r="J41" s="210"/>
      <c r="K41" s="210">
        <f>20000+55000</f>
        <v>75000</v>
      </c>
      <c r="L41" s="210"/>
      <c r="M41" s="210">
        <f>20000+50000</f>
        <v>70000</v>
      </c>
      <c r="N41" s="210"/>
      <c r="O41" s="210">
        <f>50000+55000+100000</f>
        <v>205000</v>
      </c>
      <c r="P41" s="210"/>
      <c r="Q41" s="210">
        <f>50000+60000</f>
        <v>110000</v>
      </c>
      <c r="R41" s="210"/>
      <c r="S41" s="210">
        <v>310000</v>
      </c>
      <c r="T41" s="210"/>
      <c r="U41" s="210">
        <v>70000</v>
      </c>
      <c r="V41" s="210"/>
      <c r="W41" s="210">
        <v>70000</v>
      </c>
      <c r="X41" s="210"/>
      <c r="Y41" s="210">
        <v>70000</v>
      </c>
      <c r="Z41" s="210"/>
      <c r="AA41" s="214">
        <f>C41+E41+G41+I41+K41+M41+O41+Q41+S41+U41+W41+Y41</f>
        <v>1360000</v>
      </c>
      <c r="AB41" s="270">
        <f>D41+F41+H41+L41+N41+P41+R41+T41+V41+X41+Z41</f>
        <v>0</v>
      </c>
      <c r="AC41" s="270">
        <f>AC28-AA41</f>
        <v>-470000</v>
      </c>
      <c r="AD41" s="207">
        <f>AC41*50</f>
        <v>-23500000</v>
      </c>
      <c r="AE41" s="192"/>
    </row>
    <row r="42" spans="1:34" ht="19.5" customHeight="1" x14ac:dyDescent="0.3">
      <c r="A42" s="271" t="s">
        <v>267</v>
      </c>
      <c r="B42" s="271" t="s">
        <v>241</v>
      </c>
      <c r="C42" s="258">
        <f>C28-C41</f>
        <v>0</v>
      </c>
      <c r="D42" s="258"/>
      <c r="E42" s="258">
        <f>E28-E41</f>
        <v>10000</v>
      </c>
      <c r="F42" s="258"/>
      <c r="G42" s="258">
        <f t="shared" ref="G42" si="46">G28-G41</f>
        <v>10000</v>
      </c>
      <c r="H42" s="258"/>
      <c r="I42" s="258">
        <f t="shared" ref="I42:Y42" si="47">I28-I41</f>
        <v>10000</v>
      </c>
      <c r="J42" s="258"/>
      <c r="K42" s="258">
        <f t="shared" si="47"/>
        <v>85000</v>
      </c>
      <c r="L42" s="258"/>
      <c r="M42" s="258">
        <f>M28-M41</f>
        <v>90000</v>
      </c>
      <c r="N42" s="258"/>
      <c r="O42" s="258">
        <f t="shared" si="47"/>
        <v>-45000</v>
      </c>
      <c r="P42" s="258"/>
      <c r="Q42" s="258">
        <f t="shared" si="47"/>
        <v>-110000</v>
      </c>
      <c r="R42" s="258"/>
      <c r="S42" s="258">
        <f t="shared" si="47"/>
        <v>-310000</v>
      </c>
      <c r="T42" s="258"/>
      <c r="U42" s="258">
        <f t="shared" si="47"/>
        <v>-70000</v>
      </c>
      <c r="V42" s="258"/>
      <c r="W42" s="258">
        <f t="shared" si="47"/>
        <v>-70000</v>
      </c>
      <c r="X42" s="258"/>
      <c r="Y42" s="258">
        <f t="shared" si="47"/>
        <v>-70000</v>
      </c>
      <c r="Z42" s="258"/>
      <c r="AA42" s="214"/>
      <c r="AB42" s="272"/>
      <c r="AC42" s="272"/>
      <c r="AD42" s="192"/>
      <c r="AE42" s="192"/>
    </row>
    <row r="43" spans="1:34" ht="19.5" customHeight="1" x14ac:dyDescent="0.3">
      <c r="A43" s="233" t="s">
        <v>268</v>
      </c>
      <c r="B43" s="209" t="s">
        <v>253</v>
      </c>
      <c r="C43" s="210">
        <v>150000</v>
      </c>
      <c r="D43" s="210"/>
      <c r="E43" s="210">
        <v>250000</v>
      </c>
      <c r="F43" s="210"/>
      <c r="G43" s="210">
        <v>270000</v>
      </c>
      <c r="H43" s="210"/>
      <c r="I43" s="210">
        <v>250000</v>
      </c>
      <c r="J43" s="210"/>
      <c r="K43" s="210">
        <v>230000</v>
      </c>
      <c r="L43" s="210"/>
      <c r="M43" s="210">
        <v>190000</v>
      </c>
      <c r="N43" s="210"/>
      <c r="O43" s="210">
        <v>210000</v>
      </c>
      <c r="P43" s="210"/>
      <c r="Q43" s="210">
        <v>230000</v>
      </c>
      <c r="R43" s="210"/>
      <c r="S43" s="210">
        <v>230000</v>
      </c>
      <c r="T43" s="210"/>
      <c r="U43" s="210">
        <v>200000</v>
      </c>
      <c r="V43" s="210"/>
      <c r="W43" s="210">
        <v>200000</v>
      </c>
      <c r="X43" s="210"/>
      <c r="Y43" s="210">
        <v>200000</v>
      </c>
      <c r="Z43" s="210"/>
      <c r="AA43" s="214">
        <f>C43+E43+G43+I43+K43+M43+O43+Q43+S43+U43+W43+Y43</f>
        <v>2610000</v>
      </c>
      <c r="AB43" s="270">
        <f>D43+F43+H43+L43+N43+P43+R43+T43+V43+X43+Z43</f>
        <v>0</v>
      </c>
      <c r="AC43" s="270">
        <f>AC29-AA43</f>
        <v>220000</v>
      </c>
      <c r="AD43" s="207"/>
      <c r="AE43" s="207"/>
    </row>
    <row r="44" spans="1:34" ht="19.5" customHeight="1" x14ac:dyDescent="0.3">
      <c r="A44" s="271" t="s">
        <v>269</v>
      </c>
      <c r="B44" s="271" t="s">
        <v>253</v>
      </c>
      <c r="C44" s="258">
        <f>C29-C43</f>
        <v>-81667</v>
      </c>
      <c r="D44" s="258"/>
      <c r="E44" s="258">
        <f>E29-E43</f>
        <v>93333</v>
      </c>
      <c r="F44" s="258"/>
      <c r="G44" s="258">
        <f t="shared" ref="G44" si="48">G29-G43</f>
        <v>80000</v>
      </c>
      <c r="H44" s="258"/>
      <c r="I44" s="258">
        <f t="shared" ref="I44:Y44" si="49">I29-I43</f>
        <v>76667</v>
      </c>
      <c r="J44" s="258"/>
      <c r="K44" s="258">
        <f t="shared" si="49"/>
        <v>136667</v>
      </c>
      <c r="L44" s="258"/>
      <c r="M44" s="258">
        <f t="shared" si="49"/>
        <v>168333</v>
      </c>
      <c r="N44" s="258"/>
      <c r="O44" s="258">
        <f t="shared" si="49"/>
        <v>96667</v>
      </c>
      <c r="P44" s="258"/>
      <c r="Q44" s="258">
        <f t="shared" si="49"/>
        <v>-30000</v>
      </c>
      <c r="R44" s="258"/>
      <c r="S44" s="258">
        <f t="shared" si="49"/>
        <v>-30000</v>
      </c>
      <c r="T44" s="258"/>
      <c r="U44" s="258">
        <f t="shared" si="49"/>
        <v>0</v>
      </c>
      <c r="V44" s="258"/>
      <c r="W44" s="258">
        <f t="shared" si="49"/>
        <v>-90000</v>
      </c>
      <c r="X44" s="258"/>
      <c r="Y44" s="258">
        <f t="shared" si="49"/>
        <v>-200000</v>
      </c>
      <c r="Z44" s="258"/>
      <c r="AA44" s="214"/>
      <c r="AB44" s="270"/>
      <c r="AC44" s="270"/>
      <c r="AD44" s="207"/>
      <c r="AE44" s="207"/>
      <c r="AF44" s="206">
        <f>AA43*0.6</f>
        <v>1566000</v>
      </c>
    </row>
    <row r="45" spans="1:34" ht="19.5" customHeight="1" x14ac:dyDescent="0.3">
      <c r="A45" s="233" t="s">
        <v>270</v>
      </c>
      <c r="B45" s="209" t="s">
        <v>253</v>
      </c>
      <c r="C45" s="210">
        <f>C43*0.05</f>
        <v>7500</v>
      </c>
      <c r="D45" s="210"/>
      <c r="E45" s="210">
        <f>E43*0.05</f>
        <v>12500</v>
      </c>
      <c r="F45" s="210"/>
      <c r="G45" s="210">
        <f t="shared" ref="G45" si="50">G43*0.05</f>
        <v>13500</v>
      </c>
      <c r="H45" s="210"/>
      <c r="I45" s="210">
        <f t="shared" ref="I45:Y45" si="51">I43*0.05</f>
        <v>12500</v>
      </c>
      <c r="J45" s="210"/>
      <c r="K45" s="210">
        <f t="shared" si="51"/>
        <v>11500</v>
      </c>
      <c r="L45" s="210"/>
      <c r="M45" s="210">
        <f t="shared" si="51"/>
        <v>9500</v>
      </c>
      <c r="N45" s="210"/>
      <c r="O45" s="210">
        <f t="shared" si="51"/>
        <v>10500</v>
      </c>
      <c r="P45" s="210"/>
      <c r="Q45" s="210">
        <f t="shared" si="51"/>
        <v>11500</v>
      </c>
      <c r="R45" s="210"/>
      <c r="S45" s="210">
        <f t="shared" si="51"/>
        <v>11500</v>
      </c>
      <c r="T45" s="210"/>
      <c r="U45" s="210">
        <f t="shared" si="51"/>
        <v>10000</v>
      </c>
      <c r="V45" s="210"/>
      <c r="W45" s="210">
        <f t="shared" si="51"/>
        <v>10000</v>
      </c>
      <c r="X45" s="210"/>
      <c r="Y45" s="210">
        <f t="shared" si="51"/>
        <v>10000</v>
      </c>
      <c r="Z45" s="210"/>
      <c r="AA45" s="214">
        <f>C45+E45+G45+I45+K45+M45+O45+Q45+S45+U45+W45+Y45</f>
        <v>130500</v>
      </c>
      <c r="AB45" s="270">
        <f>D45+F45+H45+L45+N45+P45+R45+T45+V45+X45+Z45</f>
        <v>0</v>
      </c>
      <c r="AC45" s="270">
        <f>AC30-AA45</f>
        <v>49500</v>
      </c>
      <c r="AD45" s="207"/>
      <c r="AE45" s="207"/>
    </row>
    <row r="46" spans="1:34" ht="19.5" customHeight="1" x14ac:dyDescent="0.3">
      <c r="A46" s="233" t="s">
        <v>271</v>
      </c>
      <c r="B46" s="209" t="s">
        <v>253</v>
      </c>
      <c r="C46" s="258">
        <f>C30-C45</f>
        <v>32500</v>
      </c>
      <c r="D46" s="258"/>
      <c r="E46" s="258">
        <f>E30-E45</f>
        <v>27500</v>
      </c>
      <c r="F46" s="258"/>
      <c r="G46" s="258">
        <f t="shared" ref="G46" si="52">G30-G45</f>
        <v>-13500</v>
      </c>
      <c r="H46" s="258"/>
      <c r="I46" s="258">
        <f t="shared" ref="I46:Y46" si="53">I30-I45</f>
        <v>27500</v>
      </c>
      <c r="J46" s="258"/>
      <c r="K46" s="258">
        <f t="shared" si="53"/>
        <v>-11500</v>
      </c>
      <c r="L46" s="258"/>
      <c r="M46" s="258">
        <f t="shared" si="53"/>
        <v>-9500</v>
      </c>
      <c r="N46" s="258"/>
      <c r="O46" s="258">
        <f t="shared" si="53"/>
        <v>49500</v>
      </c>
      <c r="P46" s="258"/>
      <c r="Q46" s="258">
        <f t="shared" si="53"/>
        <v>-11500</v>
      </c>
      <c r="R46" s="258"/>
      <c r="S46" s="258">
        <f t="shared" si="53"/>
        <v>-11500</v>
      </c>
      <c r="T46" s="258"/>
      <c r="U46" s="258">
        <f t="shared" si="53"/>
        <v>-10000</v>
      </c>
      <c r="V46" s="258"/>
      <c r="W46" s="258">
        <f t="shared" si="53"/>
        <v>-10000</v>
      </c>
      <c r="X46" s="258"/>
      <c r="Y46" s="258">
        <f t="shared" si="53"/>
        <v>-10000</v>
      </c>
      <c r="Z46" s="258"/>
      <c r="AA46" s="273"/>
      <c r="AB46" s="270"/>
      <c r="AC46" s="270"/>
      <c r="AD46" s="207"/>
      <c r="AE46" s="207"/>
    </row>
    <row r="47" spans="1:34" ht="19.5" customHeight="1" x14ac:dyDescent="0.3">
      <c r="A47" s="233" t="s">
        <v>272</v>
      </c>
      <c r="B47" s="209" t="s">
        <v>250</v>
      </c>
      <c r="C47" s="210">
        <v>1250000</v>
      </c>
      <c r="D47" s="210"/>
      <c r="E47" s="210">
        <v>1250000</v>
      </c>
      <c r="F47" s="210"/>
      <c r="G47" s="210">
        <v>1250000</v>
      </c>
      <c r="H47" s="210"/>
      <c r="I47" s="210">
        <v>1250000</v>
      </c>
      <c r="J47" s="210"/>
      <c r="K47" s="210">
        <v>1250000</v>
      </c>
      <c r="L47" s="210"/>
      <c r="M47" s="210">
        <v>1250000</v>
      </c>
      <c r="N47" s="210"/>
      <c r="O47" s="210">
        <v>1250000</v>
      </c>
      <c r="P47" s="210"/>
      <c r="Q47" s="210">
        <v>1250000</v>
      </c>
      <c r="R47" s="210"/>
      <c r="S47" s="210">
        <v>1250000</v>
      </c>
      <c r="T47" s="210"/>
      <c r="U47" s="210">
        <v>1250000</v>
      </c>
      <c r="V47" s="210"/>
      <c r="W47" s="210">
        <v>1250000</v>
      </c>
      <c r="X47" s="210"/>
      <c r="Y47" s="210">
        <v>1250000</v>
      </c>
      <c r="Z47" s="210"/>
      <c r="AA47" s="214">
        <f>C47+E47+G47+I47+K47+M47+O47+Q47+S47+U47+W47+Y47</f>
        <v>15000000</v>
      </c>
      <c r="AB47" s="270">
        <f>D47+F47+H47+L47+N47+P47+R47+T47+V47+X47+Z47</f>
        <v>0</v>
      </c>
      <c r="AC47" s="270">
        <f>AC27-AA47</f>
        <v>27700000</v>
      </c>
      <c r="AD47" s="207">
        <f>AC47/30</f>
        <v>923333.33333333337</v>
      </c>
      <c r="AE47" s="192"/>
      <c r="AF47" s="206">
        <f>AA47/50</f>
        <v>300000</v>
      </c>
    </row>
    <row r="48" spans="1:34" ht="19.5" customHeight="1" x14ac:dyDescent="0.3">
      <c r="A48" s="233" t="s">
        <v>273</v>
      </c>
      <c r="B48" s="209" t="s">
        <v>250</v>
      </c>
      <c r="C48" s="258">
        <f>C27-C47</f>
        <v>-1499990</v>
      </c>
      <c r="D48" s="258"/>
      <c r="E48" s="258">
        <f>E27-E47</f>
        <v>8500010</v>
      </c>
      <c r="F48" s="258"/>
      <c r="G48" s="258">
        <f t="shared" ref="G48" si="54">G27-G47</f>
        <v>7500000</v>
      </c>
      <c r="H48" s="258"/>
      <c r="I48" s="258">
        <f t="shared" ref="I48:Y48" si="55">I27-I47</f>
        <v>10499990</v>
      </c>
      <c r="J48" s="258"/>
      <c r="K48" s="258">
        <f t="shared" si="55"/>
        <v>10249990</v>
      </c>
      <c r="L48" s="258"/>
      <c r="M48" s="258">
        <f t="shared" si="55"/>
        <v>10000010</v>
      </c>
      <c r="N48" s="258"/>
      <c r="O48" s="258">
        <f t="shared" si="55"/>
        <v>9999990</v>
      </c>
      <c r="P48" s="258"/>
      <c r="Q48" s="258">
        <f t="shared" si="55"/>
        <v>-7250000</v>
      </c>
      <c r="R48" s="258"/>
      <c r="S48" s="258">
        <f t="shared" si="55"/>
        <v>-7250000</v>
      </c>
      <c r="T48" s="258"/>
      <c r="U48" s="258">
        <f t="shared" si="55"/>
        <v>-7250000</v>
      </c>
      <c r="V48" s="258"/>
      <c r="W48" s="258">
        <f t="shared" si="55"/>
        <v>-4550000</v>
      </c>
      <c r="X48" s="258"/>
      <c r="Y48" s="258">
        <f t="shared" si="55"/>
        <v>-1250000</v>
      </c>
      <c r="Z48" s="258"/>
      <c r="AA48" s="273"/>
      <c r="AB48" s="270"/>
      <c r="AC48" s="270"/>
      <c r="AD48" s="207"/>
      <c r="AE48" s="192" t="s">
        <v>330</v>
      </c>
      <c r="AG48" s="195" t="s">
        <v>331</v>
      </c>
      <c r="AH48" s="195" t="s">
        <v>332</v>
      </c>
    </row>
    <row r="49" spans="1:34" ht="19.5" customHeight="1" x14ac:dyDescent="0.3">
      <c r="C49" s="274">
        <f>C43*0.6+C41+C47/50+C45*0.6</f>
        <v>169500</v>
      </c>
      <c r="D49" s="274"/>
      <c r="E49" s="274">
        <f>E43*0.6+E41+E47/50+E45*0.6</f>
        <v>292500</v>
      </c>
      <c r="F49" s="274"/>
      <c r="G49" s="274">
        <f t="shared" ref="G49:O49" si="56">G43*0.6+G41+G47/50+G45*0.6</f>
        <v>305100</v>
      </c>
      <c r="H49" s="274"/>
      <c r="I49" s="274">
        <f t="shared" si="56"/>
        <v>292500</v>
      </c>
      <c r="J49" s="274"/>
      <c r="K49" s="274">
        <f t="shared" si="56"/>
        <v>244900</v>
      </c>
      <c r="L49" s="274"/>
      <c r="M49" s="274">
        <f t="shared" si="56"/>
        <v>214700</v>
      </c>
      <c r="N49" s="274"/>
      <c r="O49" s="274">
        <f t="shared" si="56"/>
        <v>362300</v>
      </c>
      <c r="P49" s="274"/>
      <c r="Q49" s="274">
        <f>Q43*0.6+Q41+Q47/50+Q45*0.6</f>
        <v>279900</v>
      </c>
      <c r="R49" s="274"/>
      <c r="S49" s="274">
        <f>S43*0.6+S41+S47/50+S45*0.6</f>
        <v>479900</v>
      </c>
      <c r="T49" s="274"/>
      <c r="U49" s="274">
        <f>U43*0.6+U41+U47/50+U45*0.6</f>
        <v>221000</v>
      </c>
      <c r="V49" s="274"/>
      <c r="W49" s="274">
        <f>W43*0.6+W41+W47/50+W45*0.6</f>
        <v>221000</v>
      </c>
      <c r="X49" s="274"/>
      <c r="Y49" s="274">
        <f>Y43*0.6+Y41+Y47/50+Y45*0.6</f>
        <v>221000</v>
      </c>
      <c r="Z49" s="274"/>
      <c r="AA49" s="274">
        <f>AA43*0.6+AA41+AA47/50+AA45*0.6</f>
        <v>3304300</v>
      </c>
      <c r="AB49" s="275">
        <f>AB41+AB43*0.6+AB47/50+AB45*0.6</f>
        <v>0</v>
      </c>
      <c r="AC49" s="275">
        <f>AC41+AC43*0.6+AC47/50+AC45*0.6</f>
        <v>245700</v>
      </c>
      <c r="AD49" s="207">
        <f>AB49-AA21/50</f>
        <v>-71000</v>
      </c>
      <c r="AE49" s="207">
        <f>(Y49+W49+U49)*AF2/1000</f>
        <v>34790.92500000001</v>
      </c>
      <c r="AG49" s="206">
        <f>AA49*AF2/1000</f>
        <v>173393.14250000002</v>
      </c>
      <c r="AH49" s="206">
        <f>AG49-AE49</f>
        <v>138602.2175</v>
      </c>
    </row>
    <row r="50" spans="1:34" ht="19.5" customHeight="1" x14ac:dyDescent="0.3">
      <c r="A50" s="195" t="s">
        <v>333</v>
      </c>
      <c r="C50" s="274">
        <v>126200</v>
      </c>
      <c r="D50" s="274"/>
      <c r="E50" s="274">
        <v>228300</v>
      </c>
      <c r="F50" s="274"/>
      <c r="G50" s="274">
        <v>194500</v>
      </c>
      <c r="H50" s="274"/>
      <c r="I50" s="274">
        <v>244400</v>
      </c>
      <c r="J50" s="274"/>
      <c r="K50" s="274">
        <v>281600</v>
      </c>
      <c r="L50" s="274"/>
      <c r="M50" s="274">
        <v>392000</v>
      </c>
      <c r="N50" s="274"/>
      <c r="O50" s="274">
        <v>197260</v>
      </c>
      <c r="P50" s="274"/>
      <c r="Q50" s="274">
        <v>169200</v>
      </c>
      <c r="R50" s="274"/>
      <c r="S50" s="274">
        <v>141300</v>
      </c>
      <c r="T50" s="274"/>
      <c r="U50" s="274">
        <f>182280</f>
        <v>182280</v>
      </c>
      <c r="V50" s="274"/>
      <c r="W50" s="274">
        <v>180720</v>
      </c>
      <c r="X50" s="274"/>
      <c r="Y50" s="276">
        <v>150000</v>
      </c>
      <c r="Z50" s="276"/>
      <c r="AA50" s="207" t="s">
        <v>217</v>
      </c>
      <c r="AB50" s="192" t="s">
        <v>218</v>
      </c>
      <c r="AC50" s="275"/>
      <c r="AD50" s="207"/>
      <c r="AE50" s="192"/>
    </row>
    <row r="51" spans="1:34" ht="19.5" customHeight="1" x14ac:dyDescent="0.3">
      <c r="A51" s="315" t="s">
        <v>334</v>
      </c>
      <c r="C51" s="274">
        <f>C50*$AF$2/1000</f>
        <v>6622.3450000000012</v>
      </c>
      <c r="D51" s="274">
        <f t="shared" ref="D51:V51" si="57">D50*$AF$2/1000</f>
        <v>0</v>
      </c>
      <c r="E51" s="274">
        <f t="shared" si="57"/>
        <v>11980.042500000001</v>
      </c>
      <c r="F51" s="274">
        <f t="shared" si="57"/>
        <v>0</v>
      </c>
      <c r="G51" s="274">
        <f t="shared" si="57"/>
        <v>10206.387500000003</v>
      </c>
      <c r="H51" s="274">
        <f t="shared" si="57"/>
        <v>0</v>
      </c>
      <c r="I51" s="274">
        <f t="shared" si="57"/>
        <v>12824.890000000001</v>
      </c>
      <c r="J51" s="274">
        <f t="shared" si="57"/>
        <v>0</v>
      </c>
      <c r="K51" s="274">
        <f t="shared" si="57"/>
        <v>14776.960000000003</v>
      </c>
      <c r="L51" s="274">
        <f t="shared" si="57"/>
        <v>0</v>
      </c>
      <c r="M51" s="274">
        <f t="shared" si="57"/>
        <v>20570.200000000004</v>
      </c>
      <c r="N51" s="274">
        <f t="shared" si="57"/>
        <v>0</v>
      </c>
      <c r="O51" s="274">
        <f t="shared" si="57"/>
        <v>10351.218500000003</v>
      </c>
      <c r="P51" s="274">
        <f t="shared" si="57"/>
        <v>0</v>
      </c>
      <c r="Q51" s="274">
        <f t="shared" si="57"/>
        <v>8878.7700000000023</v>
      </c>
      <c r="R51" s="274">
        <f t="shared" si="57"/>
        <v>0</v>
      </c>
      <c r="S51" s="274">
        <f t="shared" si="57"/>
        <v>7414.7175000000007</v>
      </c>
      <c r="T51" s="274">
        <f t="shared" si="57"/>
        <v>0</v>
      </c>
      <c r="U51" s="274">
        <f t="shared" si="57"/>
        <v>9565.1430000000018</v>
      </c>
      <c r="V51" s="274">
        <f t="shared" si="57"/>
        <v>0</v>
      </c>
      <c r="W51" s="274">
        <f>W50*$AF$2/1000</f>
        <v>9483.2820000000011</v>
      </c>
      <c r="X51" s="274">
        <f t="shared" ref="X51:Y51" si="58">X50*$AF$2/1000</f>
        <v>0</v>
      </c>
      <c r="Y51" s="274">
        <f t="shared" si="58"/>
        <v>7871.2500000000009</v>
      </c>
      <c r="Z51" s="276"/>
      <c r="AA51" s="207"/>
      <c r="AB51" s="192"/>
      <c r="AC51" s="275"/>
      <c r="AD51" s="207"/>
      <c r="AE51" s="192"/>
    </row>
    <row r="52" spans="1:34" ht="19.5" customHeight="1" x14ac:dyDescent="0.3">
      <c r="A52" s="209" t="s">
        <v>50</v>
      </c>
      <c r="B52" s="209" t="s">
        <v>257</v>
      </c>
      <c r="C52" s="210">
        <v>0</v>
      </c>
      <c r="D52" s="210"/>
      <c r="E52" s="210">
        <v>6500000</v>
      </c>
      <c r="F52" s="210"/>
      <c r="G52" s="210">
        <v>6500000</v>
      </c>
      <c r="H52" s="210"/>
      <c r="I52" s="210">
        <v>6500000</v>
      </c>
      <c r="J52" s="210"/>
      <c r="K52" s="210">
        <v>6500000</v>
      </c>
      <c r="L52" s="210"/>
      <c r="M52" s="210">
        <v>6500000</v>
      </c>
      <c r="N52" s="210"/>
      <c r="O52" s="210">
        <v>6500000</v>
      </c>
      <c r="P52" s="210"/>
      <c r="Q52" s="210"/>
      <c r="R52" s="210"/>
      <c r="S52" s="210"/>
      <c r="T52" s="210"/>
      <c r="U52" s="210"/>
      <c r="V52" s="210"/>
      <c r="W52" s="210">
        <f>865374-435300</f>
        <v>430074</v>
      </c>
      <c r="X52" s="210"/>
      <c r="Y52" s="277">
        <v>134626</v>
      </c>
      <c r="Z52" s="277"/>
      <c r="AA52" s="214">
        <f>C52+E52+G52+I52+K52+M52+O52+Q52+S52+U52+W52+Y52</f>
        <v>39564700</v>
      </c>
      <c r="AB52" s="270">
        <f>D52+F52+H52+L52+N52+P52+R52+T52+V52+X52+Z52</f>
        <v>0</v>
      </c>
      <c r="AC52" s="270"/>
      <c r="AD52" s="207"/>
      <c r="AE52" s="192"/>
      <c r="AG52" s="206">
        <f>AA52*AF5/1000</f>
        <v>69206.573240000012</v>
      </c>
    </row>
    <row r="53" spans="1:34" ht="19.5" customHeight="1" x14ac:dyDescent="0.3">
      <c r="A53" s="271" t="s">
        <v>275</v>
      </c>
      <c r="B53" s="209"/>
      <c r="C53" s="258">
        <f>C52-C34</f>
        <v>-1000000</v>
      </c>
      <c r="D53" s="210"/>
      <c r="E53" s="258">
        <f>E52-E34</f>
        <v>500000</v>
      </c>
      <c r="F53" s="258"/>
      <c r="G53" s="258">
        <f>G52-G34</f>
        <v>1000000</v>
      </c>
      <c r="H53" s="258"/>
      <c r="I53" s="258">
        <f>I52-I34</f>
        <v>0</v>
      </c>
      <c r="J53" s="258"/>
      <c r="K53" s="258">
        <f>K52-K34</f>
        <v>-500000</v>
      </c>
      <c r="L53" s="258"/>
      <c r="M53" s="258">
        <f>M52-M34</f>
        <v>-500000</v>
      </c>
      <c r="N53" s="258"/>
      <c r="O53" s="258">
        <f>O52-O34</f>
        <v>-500000</v>
      </c>
      <c r="P53" s="258"/>
      <c r="Q53" s="258"/>
      <c r="R53" s="258"/>
      <c r="S53" s="258">
        <f t="shared" ref="S53:W53" si="59">S32</f>
        <v>0</v>
      </c>
      <c r="T53" s="258"/>
      <c r="U53" s="258">
        <f t="shared" si="59"/>
        <v>0</v>
      </c>
      <c r="V53" s="258"/>
      <c r="W53" s="258">
        <f t="shared" si="59"/>
        <v>0</v>
      </c>
      <c r="X53" s="258"/>
      <c r="Y53" s="258">
        <f>Y32</f>
        <v>0</v>
      </c>
      <c r="Z53" s="258"/>
      <c r="AA53" s="273">
        <f>SUM(E53:Y53)</f>
        <v>0</v>
      </c>
      <c r="AB53" s="270"/>
      <c r="AC53" s="270"/>
      <c r="AD53" s="192"/>
      <c r="AE53" s="192"/>
    </row>
    <row r="54" spans="1:34" ht="19.5" customHeight="1" x14ac:dyDescent="0.3">
      <c r="A54" s="209" t="s">
        <v>51</v>
      </c>
      <c r="B54" s="209" t="s">
        <v>257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78">
        <v>0</v>
      </c>
      <c r="V54" s="278"/>
      <c r="W54" s="210">
        <v>0</v>
      </c>
      <c r="X54" s="210"/>
      <c r="Y54" s="277">
        <v>435300</v>
      </c>
      <c r="Z54" s="277"/>
      <c r="AA54" s="214">
        <f>C54+E54+G54+I54+K54+M54+O54+Q54+S54+U54+W54+Y54</f>
        <v>435300</v>
      </c>
      <c r="AB54" s="270">
        <f>D54+F54+H54+L54+N54+P54+R54+T54+V54+X54+Z54</f>
        <v>0</v>
      </c>
      <c r="AC54" s="270"/>
      <c r="AD54" s="192"/>
      <c r="AE54" s="192"/>
    </row>
    <row r="55" spans="1:34" ht="19.5" customHeight="1" x14ac:dyDescent="0.3">
      <c r="A55" s="271" t="s">
        <v>276</v>
      </c>
      <c r="B55" s="209" t="s">
        <v>257</v>
      </c>
      <c r="C55" s="210"/>
      <c r="D55" s="210"/>
      <c r="E55" s="258">
        <f>E33-E54</f>
        <v>100000</v>
      </c>
      <c r="F55" s="258"/>
      <c r="G55" s="258">
        <f t="shared" ref="G55" si="60">G33-G54</f>
        <v>100000</v>
      </c>
      <c r="H55" s="258"/>
      <c r="I55" s="258">
        <f t="shared" ref="I55:W55" si="61">I33-I54</f>
        <v>100000</v>
      </c>
      <c r="J55" s="258"/>
      <c r="K55" s="258">
        <f t="shared" si="61"/>
        <v>100000</v>
      </c>
      <c r="L55" s="258"/>
      <c r="M55" s="258">
        <f t="shared" si="61"/>
        <v>0</v>
      </c>
      <c r="N55" s="258"/>
      <c r="O55" s="258">
        <f t="shared" si="61"/>
        <v>100000</v>
      </c>
      <c r="P55" s="258"/>
      <c r="Q55" s="258"/>
      <c r="R55" s="258"/>
      <c r="S55" s="258">
        <f t="shared" si="61"/>
        <v>0</v>
      </c>
      <c r="T55" s="258"/>
      <c r="U55" s="258">
        <f t="shared" si="61"/>
        <v>0</v>
      </c>
      <c r="V55" s="258"/>
      <c r="W55" s="258">
        <f t="shared" si="61"/>
        <v>0</v>
      </c>
      <c r="X55" s="258"/>
      <c r="Y55" s="258">
        <f>Y33-Y54</f>
        <v>-435300</v>
      </c>
      <c r="Z55" s="258"/>
      <c r="AA55" s="273">
        <f>SUM(E55:Y55)</f>
        <v>64700</v>
      </c>
      <c r="AB55" s="270"/>
      <c r="AC55" s="270"/>
      <c r="AD55" s="192"/>
      <c r="AE55" s="192"/>
    </row>
    <row r="56" spans="1:34" ht="19.5" customHeight="1" x14ac:dyDescent="0.3">
      <c r="C56" s="274">
        <f>SUM(C52:C54)</f>
        <v>-1000000</v>
      </c>
      <c r="D56" s="274"/>
      <c r="E56" s="274">
        <f>E52+E54</f>
        <v>6500000</v>
      </c>
      <c r="F56" s="274"/>
      <c r="G56" s="274">
        <f t="shared" ref="G56" si="62">G52+G54</f>
        <v>6500000</v>
      </c>
      <c r="H56" s="274"/>
      <c r="I56" s="274">
        <f t="shared" ref="I56:W56" si="63">I52+I54</f>
        <v>6500000</v>
      </c>
      <c r="J56" s="274">
        <f t="shared" si="63"/>
        <v>0</v>
      </c>
      <c r="K56" s="274">
        <f t="shared" si="63"/>
        <v>6500000</v>
      </c>
      <c r="L56" s="274"/>
      <c r="M56" s="274">
        <f t="shared" si="63"/>
        <v>6500000</v>
      </c>
      <c r="N56" s="274"/>
      <c r="O56" s="274">
        <f t="shared" si="63"/>
        <v>6500000</v>
      </c>
      <c r="P56" s="274"/>
      <c r="Q56" s="274"/>
      <c r="R56" s="274"/>
      <c r="S56" s="274">
        <f>S52+S54</f>
        <v>0</v>
      </c>
      <c r="T56" s="274"/>
      <c r="U56" s="274">
        <f t="shared" si="63"/>
        <v>0</v>
      </c>
      <c r="V56" s="274"/>
      <c r="W56" s="274">
        <f t="shared" si="63"/>
        <v>430074</v>
      </c>
      <c r="X56" s="274"/>
      <c r="Y56" s="274">
        <f>Y52+Y54</f>
        <v>569926</v>
      </c>
      <c r="Z56" s="274"/>
      <c r="AA56" s="274"/>
      <c r="AB56" s="275">
        <f>AB52+AB54</f>
        <v>0</v>
      </c>
      <c r="AC56" s="275">
        <f>AC52+AC54</f>
        <v>0</v>
      </c>
      <c r="AD56" s="207">
        <f>AA34-AB56</f>
        <v>40000000</v>
      </c>
      <c r="AE56" s="192"/>
    </row>
    <row r="57" spans="1:34" ht="19.5" customHeight="1" x14ac:dyDescent="0.3">
      <c r="A57" s="263" t="s">
        <v>277</v>
      </c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AA57" s="192"/>
      <c r="AB57" s="207"/>
      <c r="AC57" s="207"/>
      <c r="AD57" s="192"/>
      <c r="AE57" s="192"/>
    </row>
    <row r="58" spans="1:34" ht="19.5" customHeight="1" x14ac:dyDescent="0.3">
      <c r="E58" s="262"/>
      <c r="F58" s="262"/>
      <c r="G58" s="262"/>
      <c r="H58" s="262"/>
      <c r="I58" s="262"/>
      <c r="J58" s="262"/>
      <c r="M58" s="262"/>
      <c r="N58" s="262"/>
      <c r="AA58" s="192"/>
      <c r="AB58" s="192"/>
      <c r="AC58" s="192"/>
      <c r="AD58" s="192"/>
      <c r="AE58" s="192"/>
    </row>
    <row r="59" spans="1:34" ht="19.5" customHeight="1" x14ac:dyDescent="0.3">
      <c r="A59" s="209" t="s">
        <v>266</v>
      </c>
      <c r="B59" s="209" t="s">
        <v>278</v>
      </c>
      <c r="C59" s="279">
        <v>145</v>
      </c>
      <c r="D59" s="279"/>
      <c r="E59" s="279">
        <v>145</v>
      </c>
      <c r="F59" s="279"/>
      <c r="G59" s="279">
        <v>145</v>
      </c>
      <c r="H59" s="279"/>
      <c r="I59" s="279">
        <v>145</v>
      </c>
      <c r="J59" s="279"/>
      <c r="K59" s="279">
        <v>140</v>
      </c>
      <c r="L59" s="279"/>
      <c r="M59" s="279">
        <v>135</v>
      </c>
      <c r="N59" s="279"/>
      <c r="O59" s="279">
        <v>135</v>
      </c>
      <c r="P59" s="279"/>
      <c r="Q59" s="279">
        <v>140</v>
      </c>
      <c r="R59" s="279"/>
      <c r="S59" s="279">
        <v>140</v>
      </c>
      <c r="T59" s="279"/>
      <c r="U59" s="279">
        <v>140</v>
      </c>
      <c r="V59" s="279"/>
      <c r="W59" s="279">
        <v>140</v>
      </c>
      <c r="X59" s="279"/>
      <c r="Y59" s="279">
        <v>140</v>
      </c>
      <c r="Z59" s="279"/>
      <c r="AA59" s="214">
        <f>(C41*C59+E41*E59+G41*G59+I41*I59+K41*K59+M41*M59+O41*O59+Q41*Q59+S41*S59+U41*U59+W41*W59+Y41*Y59)/(C41+E41+G41+I41+K41+M41+O41+Q41+S41+U41+W41+Y41)</f>
        <v>140.3860294117647</v>
      </c>
      <c r="AB59" s="214"/>
      <c r="AC59" s="214"/>
      <c r="AD59" s="192"/>
      <c r="AE59" s="192"/>
    </row>
    <row r="60" spans="1:34" ht="19.5" customHeight="1" x14ac:dyDescent="0.3">
      <c r="A60" s="209" t="s">
        <v>268</v>
      </c>
      <c r="B60" s="209" t="s">
        <v>279</v>
      </c>
      <c r="C60" s="279">
        <f>C59/50*30*1.07</f>
        <v>93.09</v>
      </c>
      <c r="D60" s="279"/>
      <c r="E60" s="279">
        <f>E59/50*30*1.07</f>
        <v>93.09</v>
      </c>
      <c r="F60" s="279"/>
      <c r="G60" s="279">
        <f>G59/50*30*1.07</f>
        <v>93.09</v>
      </c>
      <c r="H60" s="279"/>
      <c r="I60" s="279">
        <f>I59/50*30*1.07</f>
        <v>93.09</v>
      </c>
      <c r="J60" s="279"/>
      <c r="K60" s="279">
        <f>K59/50*30*1.07</f>
        <v>89.88000000000001</v>
      </c>
      <c r="L60" s="279"/>
      <c r="M60" s="279">
        <f>M59/50*30*1.07</f>
        <v>86.67</v>
      </c>
      <c r="N60" s="279"/>
      <c r="O60" s="279">
        <f>O59/50*30*1.07</f>
        <v>86.67</v>
      </c>
      <c r="P60" s="279"/>
      <c r="Q60" s="279">
        <f>Q59/50*30*1.07</f>
        <v>89.88000000000001</v>
      </c>
      <c r="R60" s="279"/>
      <c r="S60" s="279">
        <f>S59/50*30*1.07</f>
        <v>89.88000000000001</v>
      </c>
      <c r="T60" s="279"/>
      <c r="U60" s="279">
        <f t="shared" ref="U60:Y60" si="64">U59/50*30*1.1</f>
        <v>92.4</v>
      </c>
      <c r="V60" s="279"/>
      <c r="W60" s="279">
        <f t="shared" si="64"/>
        <v>92.4</v>
      </c>
      <c r="X60" s="279"/>
      <c r="Y60" s="279">
        <f t="shared" si="64"/>
        <v>92.4</v>
      </c>
      <c r="Z60" s="279"/>
      <c r="AA60" s="214">
        <f>(C43*C60+E43*E60+G43*G60+I43*I60+K43*K60+M43*M60+O43*O60+Q43*Q60+S43*S60+U43*U60+W43*W60+Y43*Y60)/(C43+E43+G43+I43+K43+M43+O43+Q43+S43+U43+W43+Y43)</f>
        <v>91.098850574712642</v>
      </c>
      <c r="AB60" s="214"/>
      <c r="AC60" s="214"/>
      <c r="AD60" s="262"/>
      <c r="AE60" s="192"/>
    </row>
    <row r="61" spans="1:34" ht="19.5" customHeight="1" x14ac:dyDescent="0.3">
      <c r="A61" s="233" t="s">
        <v>270</v>
      </c>
      <c r="B61" s="209" t="s">
        <v>279</v>
      </c>
      <c r="C61" s="279">
        <f>C60*1.07</f>
        <v>99.606300000000005</v>
      </c>
      <c r="D61" s="279"/>
      <c r="E61" s="279">
        <f>E60*1.07</f>
        <v>99.606300000000005</v>
      </c>
      <c r="F61" s="279"/>
      <c r="G61" s="279">
        <v>102</v>
      </c>
      <c r="H61" s="279"/>
      <c r="I61" s="279">
        <f t="shared" ref="I61:Y61" si="65">I60*1.07</f>
        <v>99.606300000000005</v>
      </c>
      <c r="J61" s="279"/>
      <c r="K61" s="279">
        <f t="shared" si="65"/>
        <v>96.171600000000012</v>
      </c>
      <c r="L61" s="279"/>
      <c r="M61" s="279">
        <f t="shared" si="65"/>
        <v>92.736900000000006</v>
      </c>
      <c r="N61" s="279"/>
      <c r="O61" s="279">
        <f t="shared" si="65"/>
        <v>92.736900000000006</v>
      </c>
      <c r="P61" s="279"/>
      <c r="Q61" s="279">
        <f t="shared" ref="Q61" si="66">Q60*1.07</f>
        <v>96.171600000000012</v>
      </c>
      <c r="R61" s="279"/>
      <c r="S61" s="279">
        <f t="shared" si="65"/>
        <v>96.171600000000012</v>
      </c>
      <c r="T61" s="279"/>
      <c r="U61" s="279">
        <f t="shared" si="65"/>
        <v>98.868000000000009</v>
      </c>
      <c r="V61" s="279"/>
      <c r="W61" s="279">
        <f t="shared" si="65"/>
        <v>98.868000000000009</v>
      </c>
      <c r="X61" s="279"/>
      <c r="Y61" s="279">
        <f t="shared" si="65"/>
        <v>98.868000000000009</v>
      </c>
      <c r="Z61" s="279"/>
      <c r="AA61" s="214">
        <f>(C45*C61+E45*E61+G45*G61+I45*I61+K45*K61+M45*M61+O45*O61+Q45*Q61+S45*S61+U45*U61+W45*W61+Y45*Y61)/(C45+E45+G45+I45+K45+M45+O45+Q45+S45+U45+W45+Y45)</f>
        <v>97.723394252873575</v>
      </c>
      <c r="AB61" s="214"/>
      <c r="AC61" s="214"/>
      <c r="AD61" s="262"/>
      <c r="AE61" s="192"/>
    </row>
    <row r="62" spans="1:34" ht="19.5" customHeight="1" x14ac:dyDescent="0.3">
      <c r="A62" s="209" t="s">
        <v>272</v>
      </c>
      <c r="B62" s="209" t="s">
        <v>280</v>
      </c>
      <c r="C62" s="279">
        <f>C59/50</f>
        <v>2.9</v>
      </c>
      <c r="D62" s="279"/>
      <c r="E62" s="279">
        <f>E59/50</f>
        <v>2.9</v>
      </c>
      <c r="F62" s="279"/>
      <c r="G62" s="279">
        <f t="shared" ref="G62" si="67">G59/50</f>
        <v>2.9</v>
      </c>
      <c r="H62" s="279"/>
      <c r="I62" s="279">
        <f t="shared" ref="I62:Y62" si="68">I59/50</f>
        <v>2.9</v>
      </c>
      <c r="J62" s="279"/>
      <c r="K62" s="279">
        <f t="shared" si="68"/>
        <v>2.8</v>
      </c>
      <c r="L62" s="279"/>
      <c r="M62" s="279">
        <f t="shared" si="68"/>
        <v>2.7</v>
      </c>
      <c r="N62" s="279"/>
      <c r="O62" s="279">
        <f t="shared" si="68"/>
        <v>2.7</v>
      </c>
      <c r="P62" s="279"/>
      <c r="Q62" s="279">
        <f t="shared" ref="Q62" si="69">Q59/50</f>
        <v>2.8</v>
      </c>
      <c r="R62" s="279"/>
      <c r="S62" s="279">
        <f t="shared" si="68"/>
        <v>2.8</v>
      </c>
      <c r="T62" s="279"/>
      <c r="U62" s="279">
        <f t="shared" si="68"/>
        <v>2.8</v>
      </c>
      <c r="V62" s="279"/>
      <c r="W62" s="279">
        <f t="shared" si="68"/>
        <v>2.8</v>
      </c>
      <c r="X62" s="279"/>
      <c r="Y62" s="279">
        <f t="shared" si="68"/>
        <v>2.8</v>
      </c>
      <c r="Z62" s="279"/>
      <c r="AA62" s="280">
        <f>(C47*C62+E47*E62+G47*G62+I47*I62+K47*K62+M47*M62+O47*O62+Q47*Q62+S47*S62+U47*U62+W47*W62+Y47*Y62)/(C47+E47+G47+I47+K47+M47+O47+Q47+S47+U47+W47+Y47)</f>
        <v>2.8166666666666669</v>
      </c>
      <c r="AB62" s="214"/>
      <c r="AC62" s="214"/>
      <c r="AD62" s="192"/>
      <c r="AE62" s="192"/>
    </row>
    <row r="63" spans="1:34" ht="19.5" customHeight="1" x14ac:dyDescent="0.3">
      <c r="C63" s="281">
        <f t="shared" ref="C63:G63" si="70">(C59*C41+C60*C43+C61*C45+C47*C62)/C49</f>
        <v>150.94718141592921</v>
      </c>
      <c r="E63" s="281">
        <f t="shared" si="70"/>
        <v>150.74385897435897</v>
      </c>
      <c r="F63" s="281"/>
      <c r="G63" s="281">
        <f t="shared" si="70"/>
        <v>151.05309734513276</v>
      </c>
      <c r="H63" s="281"/>
      <c r="I63" s="281">
        <f t="shared" ref="I63:O63" si="71">(I59*I41+I60*I43+I61*I45+I47*I62)/I49</f>
        <v>150.74385897435897</v>
      </c>
      <c r="J63" s="281"/>
      <c r="K63" s="281">
        <f t="shared" si="71"/>
        <v>146.0938072682728</v>
      </c>
      <c r="L63" s="281"/>
      <c r="M63" s="281">
        <f t="shared" si="71"/>
        <v>140.53703097345132</v>
      </c>
      <c r="N63" s="282"/>
      <c r="O63" s="281">
        <f t="shared" si="71"/>
        <v>138.62665594810932</v>
      </c>
      <c r="P63" s="282"/>
      <c r="Q63" s="281">
        <f t="shared" ref="Q63" si="72">(Q59*Q41+Q60*Q43+Q61*Q45+Q47*Q62)/Q49</f>
        <v>145.3318092175777</v>
      </c>
      <c r="R63" s="283"/>
      <c r="S63" s="281">
        <f>(S59*S41+S60*S43+S61*S45+S47*S62)/S49</f>
        <v>143.10975911648262</v>
      </c>
      <c r="T63" s="281"/>
      <c r="U63" s="281">
        <f t="shared" ref="U63:Y63" si="73">(U59*U41+U60*U43+U61*U45+U47*U62)/U49</f>
        <v>148.27457013574661</v>
      </c>
      <c r="V63" s="281"/>
      <c r="W63" s="281">
        <f t="shared" si="73"/>
        <v>148.27457013574661</v>
      </c>
      <c r="X63" s="281"/>
      <c r="Y63" s="281">
        <f t="shared" si="73"/>
        <v>148.27457013574661</v>
      </c>
      <c r="Z63" s="281"/>
      <c r="AA63" s="214">
        <f>(C49*C63+E49*E63+G49*G63+I49*I63+K49*K63+M49*M63+O49*O63+Q49*Q63+S49*S63+U49*U63+W49*W63+Y49*Y63)/(C49+E49+G49+I49+K49+M49+O49+Q49+S49+U49+W49+Y49)</f>
        <v>146.38377355264353</v>
      </c>
      <c r="AB63" s="284"/>
      <c r="AC63" s="214"/>
      <c r="AD63" s="192"/>
      <c r="AE63" s="192"/>
    </row>
    <row r="64" spans="1:34" ht="19.5" customHeight="1" x14ac:dyDescent="0.3">
      <c r="A64" s="209" t="s">
        <v>50</v>
      </c>
      <c r="B64" s="209" t="s">
        <v>281</v>
      </c>
      <c r="C64" s="285">
        <v>2.8</v>
      </c>
      <c r="D64" s="285">
        <v>2.8</v>
      </c>
      <c r="E64" s="285">
        <v>2.8</v>
      </c>
      <c r="F64" s="285">
        <v>2.8</v>
      </c>
      <c r="G64" s="285">
        <v>2.8</v>
      </c>
      <c r="H64" s="285">
        <v>2.8</v>
      </c>
      <c r="I64" s="285">
        <v>2.8</v>
      </c>
      <c r="J64" s="285">
        <v>2.8</v>
      </c>
      <c r="K64" s="285">
        <v>2.8</v>
      </c>
      <c r="L64" s="285">
        <v>2.8</v>
      </c>
      <c r="M64" s="285">
        <v>2.8</v>
      </c>
      <c r="N64" s="285">
        <v>2.8</v>
      </c>
      <c r="O64" s="285">
        <v>2.8</v>
      </c>
      <c r="P64" s="285">
        <v>2.8</v>
      </c>
      <c r="Q64" s="285">
        <v>2.8</v>
      </c>
      <c r="R64" s="285">
        <v>2.8</v>
      </c>
      <c r="S64" s="285">
        <v>2.8</v>
      </c>
      <c r="T64" s="285">
        <v>2.8</v>
      </c>
      <c r="U64" s="285">
        <v>2.8</v>
      </c>
      <c r="V64" s="285">
        <v>2.8</v>
      </c>
      <c r="W64" s="285">
        <v>2.8</v>
      </c>
      <c r="X64" s="285">
        <v>2.8</v>
      </c>
      <c r="Y64" s="285">
        <v>2.8</v>
      </c>
      <c r="Z64" s="285"/>
      <c r="AA64" s="280">
        <f>(C52*C64+E52*E64+G52*G64+I52*I64+K52*K64+M52*M64+O52*O64+Q52*Q64+S52*S64+U52*U64+W52*W64+Y52*Y64)/(C52+E52+G52+I52+K52+M52+O52+Q52+S52+U52+W52+Y52)</f>
        <v>2.8</v>
      </c>
      <c r="AB64" s="280"/>
      <c r="AC64" s="280"/>
      <c r="AD64" s="192"/>
      <c r="AE64" s="192"/>
    </row>
    <row r="65" spans="1:31" ht="19.5" customHeight="1" x14ac:dyDescent="0.3">
      <c r="A65" s="209" t="s">
        <v>51</v>
      </c>
      <c r="B65" s="209" t="s">
        <v>281</v>
      </c>
      <c r="C65" s="285">
        <v>2.8</v>
      </c>
      <c r="D65" s="285"/>
      <c r="E65" s="285">
        <v>2.8</v>
      </c>
      <c r="F65" s="285"/>
      <c r="G65" s="285">
        <v>2.8</v>
      </c>
      <c r="H65" s="285"/>
      <c r="I65" s="285">
        <v>2.8</v>
      </c>
      <c r="J65" s="285"/>
      <c r="K65" s="285">
        <v>2.8</v>
      </c>
      <c r="L65" s="285"/>
      <c r="M65" s="285">
        <v>2.8</v>
      </c>
      <c r="N65" s="285"/>
      <c r="O65" s="285">
        <v>2.8</v>
      </c>
      <c r="P65" s="285"/>
      <c r="Q65" s="285">
        <v>2.8</v>
      </c>
      <c r="R65" s="285"/>
      <c r="S65" s="285">
        <v>2.8</v>
      </c>
      <c r="T65" s="285"/>
      <c r="U65" s="285">
        <v>2.8</v>
      </c>
      <c r="V65" s="285"/>
      <c r="W65" s="285">
        <v>2.8</v>
      </c>
      <c r="X65" s="285"/>
      <c r="Y65" s="285">
        <v>2.8</v>
      </c>
      <c r="Z65" s="285"/>
      <c r="AA65" s="280">
        <f>(C47*C65+E47*E65+G47*G65+I47*I65+K47*K65+M47*M65+O47*O65+Q47*Q65+S47*S65+U47*U65+W47*W65+Y47*Y65)/(C47+E47+G47+I47+K47+M47+O47+Q47+S47+U47+W47+Y47)</f>
        <v>2.8</v>
      </c>
      <c r="AB65" s="280"/>
      <c r="AC65" s="280"/>
      <c r="AD65" s="192"/>
      <c r="AE65" s="192"/>
    </row>
    <row r="66" spans="1:31" ht="19.5" customHeight="1" x14ac:dyDescent="0.3">
      <c r="I66" s="286"/>
      <c r="M66" s="286"/>
      <c r="AA66" s="192"/>
      <c r="AB66" s="192"/>
      <c r="AC66" s="192"/>
      <c r="AD66" s="192"/>
      <c r="AE66" s="192"/>
    </row>
    <row r="67" spans="1:31" ht="19.5" customHeight="1" x14ac:dyDescent="0.3">
      <c r="A67" s="287" t="s">
        <v>282</v>
      </c>
      <c r="AA67" s="192"/>
      <c r="AB67" s="192"/>
      <c r="AC67" s="192"/>
      <c r="AD67" s="192"/>
      <c r="AE67" s="192"/>
    </row>
    <row r="68" spans="1:31" ht="19.5" customHeight="1" x14ac:dyDescent="0.3">
      <c r="AA68" s="192"/>
      <c r="AB68" s="192"/>
      <c r="AC68" s="192"/>
      <c r="AD68" s="192"/>
      <c r="AE68" s="192"/>
    </row>
    <row r="69" spans="1:31" ht="19.5" customHeight="1" x14ac:dyDescent="0.3">
      <c r="A69" s="209" t="s">
        <v>283</v>
      </c>
      <c r="B69" s="209" t="s">
        <v>284</v>
      </c>
      <c r="C69" s="288">
        <f>C35</f>
        <v>1080</v>
      </c>
      <c r="D69" s="288"/>
      <c r="E69" s="288">
        <f>E35</f>
        <v>1860</v>
      </c>
      <c r="F69" s="260"/>
      <c r="G69" s="288">
        <f>G35</f>
        <v>1800</v>
      </c>
      <c r="H69" s="260"/>
      <c r="I69" s="288">
        <f>I35</f>
        <v>1860</v>
      </c>
      <c r="J69" s="260"/>
      <c r="K69" s="288">
        <f>K35</f>
        <v>1860</v>
      </c>
      <c r="L69" s="260"/>
      <c r="M69" s="288">
        <f>M35</f>
        <v>1800</v>
      </c>
      <c r="N69" s="260"/>
      <c r="O69" s="288">
        <f>O35</f>
        <v>1860</v>
      </c>
      <c r="P69" s="260"/>
      <c r="Q69" s="288">
        <f>Q35</f>
        <v>880</v>
      </c>
      <c r="R69" s="260"/>
      <c r="S69" s="288">
        <f>S35</f>
        <v>0</v>
      </c>
      <c r="T69" s="260"/>
      <c r="U69" s="288">
        <f>U35</f>
        <v>0</v>
      </c>
      <c r="V69" s="277"/>
      <c r="W69" s="288">
        <f>W35</f>
        <v>0</v>
      </c>
      <c r="X69" s="277"/>
      <c r="Y69" s="288">
        <f>Y35</f>
        <v>0</v>
      </c>
      <c r="Z69" s="277"/>
      <c r="AA69" s="288">
        <f>AA35</f>
        <v>13000</v>
      </c>
      <c r="AB69" s="270">
        <f>AA57</f>
        <v>0</v>
      </c>
      <c r="AC69" s="270">
        <f>AB57</f>
        <v>0</v>
      </c>
      <c r="AD69" s="192"/>
      <c r="AE69" s="192"/>
    </row>
    <row r="70" spans="1:31" ht="19.5" customHeight="1" x14ac:dyDescent="0.3">
      <c r="A70" s="209" t="s">
        <v>68</v>
      </c>
      <c r="B70" s="209" t="s">
        <v>285</v>
      </c>
      <c r="C70" s="288">
        <v>100</v>
      </c>
      <c r="D70" s="288">
        <v>100</v>
      </c>
      <c r="E70" s="288">
        <v>100</v>
      </c>
      <c r="F70" s="288">
        <v>100</v>
      </c>
      <c r="G70" s="288">
        <v>100</v>
      </c>
      <c r="H70" s="288">
        <v>100</v>
      </c>
      <c r="I70" s="288">
        <v>100</v>
      </c>
      <c r="J70" s="288">
        <v>100</v>
      </c>
      <c r="K70" s="288">
        <v>100</v>
      </c>
      <c r="L70" s="288">
        <v>100</v>
      </c>
      <c r="M70" s="288">
        <v>100</v>
      </c>
      <c r="N70" s="288">
        <v>100</v>
      </c>
      <c r="O70" s="288">
        <v>100</v>
      </c>
      <c r="P70" s="288">
        <v>100</v>
      </c>
      <c r="Q70" s="288">
        <v>100</v>
      </c>
      <c r="R70" s="288">
        <v>100</v>
      </c>
      <c r="S70" s="288">
        <v>100</v>
      </c>
      <c r="T70" s="288">
        <v>100</v>
      </c>
      <c r="U70" s="288">
        <v>100</v>
      </c>
      <c r="V70" s="288">
        <v>100</v>
      </c>
      <c r="W70" s="288">
        <v>100</v>
      </c>
      <c r="X70" s="288">
        <v>100</v>
      </c>
      <c r="Y70" s="288">
        <v>100</v>
      </c>
      <c r="Z70" s="288"/>
      <c r="AA70" s="288">
        <v>70</v>
      </c>
      <c r="AB70" s="232"/>
      <c r="AC70" s="232"/>
      <c r="AD70" s="192"/>
      <c r="AE70" s="192"/>
    </row>
    <row r="71" spans="1:31" x14ac:dyDescent="0.3">
      <c r="AA71" s="192"/>
      <c r="AB71" s="192"/>
      <c r="AC71" s="192"/>
      <c r="AD71" s="192"/>
      <c r="AE71" s="192"/>
    </row>
    <row r="72" spans="1:31" hidden="1" x14ac:dyDescent="0.3">
      <c r="A72" s="287" t="s">
        <v>286</v>
      </c>
      <c r="B72" s="289"/>
      <c r="C72" s="290"/>
      <c r="D72" s="290"/>
      <c r="AA72" s="192"/>
      <c r="AB72" s="192"/>
      <c r="AC72" s="192"/>
      <c r="AD72" s="192"/>
      <c r="AE72" s="192"/>
    </row>
    <row r="73" spans="1:31" hidden="1" x14ac:dyDescent="0.3">
      <c r="AA73" s="192"/>
      <c r="AB73" s="192"/>
      <c r="AC73" s="192"/>
      <c r="AD73" s="192"/>
      <c r="AE73" s="192"/>
    </row>
    <row r="74" spans="1:31" hidden="1" x14ac:dyDescent="0.3">
      <c r="A74" s="231" t="s">
        <v>287</v>
      </c>
      <c r="B74" s="231" t="s">
        <v>288</v>
      </c>
      <c r="C74" s="210">
        <v>500000</v>
      </c>
      <c r="D74" s="210"/>
      <c r="E74" s="210">
        <v>1300000</v>
      </c>
      <c r="F74" s="210"/>
      <c r="G74" s="210">
        <v>1300000</v>
      </c>
      <c r="H74" s="210"/>
      <c r="I74" s="210">
        <v>1300000</v>
      </c>
      <c r="J74" s="210"/>
      <c r="K74" s="210">
        <v>1300000</v>
      </c>
      <c r="L74" s="210"/>
      <c r="M74" s="210">
        <v>1300000</v>
      </c>
      <c r="N74" s="210"/>
      <c r="O74" s="210">
        <v>1300000</v>
      </c>
      <c r="P74" s="210"/>
      <c r="Q74" s="210">
        <v>1300000</v>
      </c>
      <c r="R74" s="210"/>
      <c r="S74" s="210">
        <v>1300000</v>
      </c>
      <c r="T74" s="210"/>
      <c r="U74" s="210">
        <v>800000</v>
      </c>
      <c r="V74" s="210"/>
      <c r="W74" s="210">
        <v>800000</v>
      </c>
      <c r="X74" s="210"/>
      <c r="Y74" s="210">
        <v>800000</v>
      </c>
      <c r="Z74" s="210"/>
      <c r="AA74" s="291">
        <f>SUM(C74:Y74)</f>
        <v>13300000</v>
      </c>
      <c r="AB74" s="211"/>
      <c r="AC74" s="192"/>
      <c r="AD74" s="192"/>
      <c r="AE74" s="192"/>
    </row>
    <row r="75" spans="1:31" hidden="1" x14ac:dyDescent="0.3">
      <c r="A75" s="231" t="s">
        <v>289</v>
      </c>
      <c r="B75" s="231" t="s">
        <v>288</v>
      </c>
      <c r="C75" s="210">
        <v>800000</v>
      </c>
      <c r="D75" s="210"/>
      <c r="E75" s="210">
        <v>800000</v>
      </c>
      <c r="F75" s="210"/>
      <c r="G75" s="210">
        <v>1500000</v>
      </c>
      <c r="H75" s="210"/>
      <c r="I75" s="210">
        <v>1500000</v>
      </c>
      <c r="J75" s="210"/>
      <c r="K75" s="210">
        <v>2500000</v>
      </c>
      <c r="L75" s="210"/>
      <c r="M75" s="210">
        <v>2700000</v>
      </c>
      <c r="N75" s="210"/>
      <c r="O75" s="210">
        <v>2500000</v>
      </c>
      <c r="P75" s="210"/>
      <c r="Q75" s="210">
        <v>1500000</v>
      </c>
      <c r="R75" s="210"/>
      <c r="S75" s="210">
        <v>0</v>
      </c>
      <c r="T75" s="210"/>
      <c r="U75" s="210">
        <v>0</v>
      </c>
      <c r="V75" s="210"/>
      <c r="W75" s="210">
        <v>0</v>
      </c>
      <c r="X75" s="210"/>
      <c r="Y75" s="210">
        <v>0</v>
      </c>
      <c r="Z75" s="210"/>
      <c r="AA75" s="291">
        <f>SUM(C75:Y75)</f>
        <v>13800000</v>
      </c>
      <c r="AB75" s="211"/>
      <c r="AC75" s="192"/>
      <c r="AD75" s="192"/>
      <c r="AE75" s="192"/>
    </row>
    <row r="76" spans="1:31" hidden="1" x14ac:dyDescent="0.3">
      <c r="A76" s="231" t="s">
        <v>290</v>
      </c>
      <c r="B76" s="231" t="s">
        <v>288</v>
      </c>
      <c r="C76" s="210"/>
      <c r="D76" s="210"/>
      <c r="E76" s="210">
        <v>4800000</v>
      </c>
      <c r="F76" s="210"/>
      <c r="G76" s="210">
        <v>4800000</v>
      </c>
      <c r="H76" s="210"/>
      <c r="I76" s="210">
        <v>4800000</v>
      </c>
      <c r="J76" s="210"/>
      <c r="K76" s="210">
        <v>4800000</v>
      </c>
      <c r="L76" s="210"/>
      <c r="M76" s="210">
        <v>4800000</v>
      </c>
      <c r="N76" s="210"/>
      <c r="O76" s="210">
        <v>4800000</v>
      </c>
      <c r="P76" s="210"/>
      <c r="Q76" s="210">
        <v>4800000</v>
      </c>
      <c r="R76" s="210"/>
      <c r="S76" s="210">
        <v>4800000</v>
      </c>
      <c r="T76" s="210"/>
      <c r="U76" s="210"/>
      <c r="V76" s="210"/>
      <c r="W76" s="210"/>
      <c r="X76" s="210"/>
      <c r="Y76" s="210"/>
      <c r="Z76" s="210"/>
      <c r="AA76" s="291">
        <f>SUM(C76:Y76)</f>
        <v>38400000</v>
      </c>
      <c r="AB76" s="211"/>
      <c r="AC76" s="192"/>
      <c r="AD76" s="192"/>
      <c r="AE76" s="192"/>
    </row>
    <row r="77" spans="1:31" hidden="1" x14ac:dyDescent="0.3">
      <c r="A77" s="231" t="s">
        <v>291</v>
      </c>
      <c r="B77" s="231" t="s">
        <v>288</v>
      </c>
      <c r="C77" s="210"/>
      <c r="D77" s="210"/>
      <c r="E77" s="210">
        <v>250000</v>
      </c>
      <c r="F77" s="210"/>
      <c r="G77" s="210"/>
      <c r="H77" s="210"/>
      <c r="I77" s="210">
        <v>250000</v>
      </c>
      <c r="J77" s="210"/>
      <c r="K77" s="210"/>
      <c r="L77" s="210"/>
      <c r="M77" s="210">
        <v>250000</v>
      </c>
      <c r="N77" s="210"/>
      <c r="O77" s="210"/>
      <c r="P77" s="210"/>
      <c r="Q77" s="210">
        <v>250000</v>
      </c>
      <c r="R77" s="210"/>
      <c r="S77" s="210"/>
      <c r="T77" s="210"/>
      <c r="U77" s="210"/>
      <c r="V77" s="210"/>
      <c r="W77" s="210"/>
      <c r="X77" s="210"/>
      <c r="Y77" s="210"/>
      <c r="Z77" s="210"/>
      <c r="AA77" s="291">
        <f>SUM(C77:Y77)</f>
        <v>1000000</v>
      </c>
      <c r="AB77" s="211"/>
      <c r="AC77" s="192"/>
      <c r="AD77" s="192"/>
      <c r="AE77" s="192"/>
    </row>
    <row r="78" spans="1:31" hidden="1" x14ac:dyDescent="0.3">
      <c r="A78" s="173" t="s">
        <v>277</v>
      </c>
      <c r="AA78" s="192"/>
      <c r="AB78" s="192"/>
      <c r="AC78" s="192"/>
      <c r="AD78" s="192"/>
      <c r="AE78" s="192"/>
    </row>
    <row r="79" spans="1:31" hidden="1" x14ac:dyDescent="0.3">
      <c r="A79" s="231" t="s">
        <v>287</v>
      </c>
      <c r="B79" s="231" t="s">
        <v>292</v>
      </c>
      <c r="C79" s="279">
        <v>5</v>
      </c>
      <c r="D79" s="279"/>
      <c r="E79" s="279">
        <v>5</v>
      </c>
      <c r="F79" s="279"/>
      <c r="G79" s="279">
        <v>5</v>
      </c>
      <c r="H79" s="279"/>
      <c r="I79" s="279">
        <v>5</v>
      </c>
      <c r="J79" s="279"/>
      <c r="K79" s="279">
        <v>5</v>
      </c>
      <c r="L79" s="279"/>
      <c r="M79" s="279">
        <v>5</v>
      </c>
      <c r="N79" s="279"/>
      <c r="O79" s="279">
        <v>5</v>
      </c>
      <c r="P79" s="279"/>
      <c r="Q79" s="279">
        <v>5</v>
      </c>
      <c r="R79" s="279"/>
      <c r="S79" s="279">
        <v>5</v>
      </c>
      <c r="T79" s="279"/>
      <c r="U79" s="279">
        <v>5</v>
      </c>
      <c r="V79" s="279"/>
      <c r="W79" s="279">
        <v>5</v>
      </c>
      <c r="X79" s="279"/>
      <c r="Y79" s="279">
        <v>5</v>
      </c>
      <c r="Z79" s="279"/>
      <c r="AA79" s="292"/>
      <c r="AB79" s="211"/>
      <c r="AC79" s="192"/>
      <c r="AD79" s="192"/>
      <c r="AE79" s="192"/>
    </row>
    <row r="80" spans="1:31" hidden="1" x14ac:dyDescent="0.3">
      <c r="A80" s="231" t="s">
        <v>289</v>
      </c>
      <c r="B80" s="231" t="s">
        <v>292</v>
      </c>
      <c r="C80" s="279">
        <v>6</v>
      </c>
      <c r="D80" s="279"/>
      <c r="E80" s="279">
        <v>6</v>
      </c>
      <c r="F80" s="279"/>
      <c r="G80" s="279">
        <v>6</v>
      </c>
      <c r="H80" s="279"/>
      <c r="I80" s="279">
        <v>6</v>
      </c>
      <c r="J80" s="279"/>
      <c r="K80" s="279">
        <v>6</v>
      </c>
      <c r="L80" s="279"/>
      <c r="M80" s="279">
        <v>6</v>
      </c>
      <c r="N80" s="279"/>
      <c r="O80" s="279">
        <v>6</v>
      </c>
      <c r="P80" s="279"/>
      <c r="Q80" s="279">
        <v>6</v>
      </c>
      <c r="R80" s="279"/>
      <c r="S80" s="279"/>
      <c r="T80" s="279"/>
      <c r="U80" s="279"/>
      <c r="V80" s="279"/>
      <c r="W80" s="279"/>
      <c r="X80" s="279"/>
      <c r="Y80" s="279"/>
      <c r="Z80" s="279"/>
      <c r="AA80" s="292"/>
      <c r="AB80" s="211"/>
      <c r="AC80" s="192"/>
      <c r="AD80" s="192"/>
      <c r="AE80" s="192"/>
    </row>
    <row r="81" spans="1:31" hidden="1" x14ac:dyDescent="0.3">
      <c r="A81" s="231" t="s">
        <v>290</v>
      </c>
      <c r="B81" s="231" t="s">
        <v>292</v>
      </c>
      <c r="C81" s="279">
        <v>5</v>
      </c>
      <c r="D81" s="279"/>
      <c r="E81" s="279">
        <v>5</v>
      </c>
      <c r="F81" s="279"/>
      <c r="G81" s="279">
        <v>5</v>
      </c>
      <c r="H81" s="279"/>
      <c r="I81" s="279">
        <v>5</v>
      </c>
      <c r="J81" s="279"/>
      <c r="K81" s="279">
        <v>5</v>
      </c>
      <c r="L81" s="279"/>
      <c r="M81" s="279">
        <v>5</v>
      </c>
      <c r="N81" s="279"/>
      <c r="O81" s="279">
        <v>5</v>
      </c>
      <c r="P81" s="279"/>
      <c r="Q81" s="279">
        <v>5</v>
      </c>
      <c r="R81" s="279"/>
      <c r="S81" s="279">
        <v>5</v>
      </c>
      <c r="T81" s="279"/>
      <c r="U81" s="279"/>
      <c r="V81" s="279"/>
      <c r="W81" s="279"/>
      <c r="X81" s="279"/>
      <c r="Y81" s="279"/>
      <c r="Z81" s="279"/>
      <c r="AA81" s="292"/>
      <c r="AB81" s="211"/>
      <c r="AC81" s="192"/>
      <c r="AD81" s="192"/>
      <c r="AE81" s="192"/>
    </row>
    <row r="82" spans="1:31" hidden="1" x14ac:dyDescent="0.3">
      <c r="A82" s="231" t="s">
        <v>291</v>
      </c>
      <c r="B82" s="231" t="s">
        <v>292</v>
      </c>
      <c r="C82" s="279">
        <v>5.4</v>
      </c>
      <c r="D82" s="279"/>
      <c r="E82" s="279">
        <v>5.4</v>
      </c>
      <c r="F82" s="279"/>
      <c r="G82" s="279">
        <v>5.4</v>
      </c>
      <c r="H82" s="279"/>
      <c r="I82" s="279">
        <v>5.4</v>
      </c>
      <c r="J82" s="279"/>
      <c r="K82" s="279">
        <v>5.4</v>
      </c>
      <c r="L82" s="279"/>
      <c r="M82" s="279">
        <v>5.4</v>
      </c>
      <c r="N82" s="279"/>
      <c r="O82" s="279">
        <v>5.4</v>
      </c>
      <c r="P82" s="279"/>
      <c r="Q82" s="279">
        <v>5.4</v>
      </c>
      <c r="R82" s="279"/>
      <c r="S82" s="279"/>
      <c r="T82" s="279"/>
      <c r="U82" s="279"/>
      <c r="V82" s="279"/>
      <c r="W82" s="279"/>
      <c r="X82" s="279"/>
      <c r="Y82" s="279"/>
      <c r="Z82" s="279"/>
      <c r="AA82" s="292"/>
      <c r="AB82" s="211"/>
      <c r="AC82" s="192"/>
      <c r="AD82" s="192"/>
      <c r="AE82" s="192"/>
    </row>
    <row r="83" spans="1:31" hidden="1" x14ac:dyDescent="0.3">
      <c r="AA83" s="192"/>
      <c r="AB83" s="192"/>
      <c r="AC83" s="192"/>
      <c r="AD83" s="192"/>
      <c r="AE83" s="192"/>
    </row>
    <row r="84" spans="1:31" hidden="1" x14ac:dyDescent="0.3">
      <c r="A84" s="287" t="s">
        <v>293</v>
      </c>
      <c r="AA84" s="192"/>
      <c r="AB84" s="192"/>
      <c r="AC84" s="192"/>
      <c r="AD84" s="192"/>
      <c r="AE84" s="192"/>
    </row>
    <row r="85" spans="1:31" hidden="1" x14ac:dyDescent="0.3">
      <c r="AA85" s="192"/>
      <c r="AB85" s="192"/>
      <c r="AC85" s="192"/>
      <c r="AD85" s="192"/>
      <c r="AE85" s="192"/>
    </row>
    <row r="86" spans="1:31" hidden="1" x14ac:dyDescent="0.3">
      <c r="A86" s="231" t="s">
        <v>287</v>
      </c>
      <c r="B86" s="231" t="s">
        <v>250</v>
      </c>
      <c r="C86" s="210">
        <v>0</v>
      </c>
      <c r="D86" s="210"/>
      <c r="E86" s="210">
        <v>0</v>
      </c>
      <c r="F86" s="210"/>
      <c r="G86" s="210">
        <v>0</v>
      </c>
      <c r="H86" s="210"/>
      <c r="I86" s="210">
        <v>300000</v>
      </c>
      <c r="J86" s="210"/>
      <c r="K86" s="210">
        <v>500000</v>
      </c>
      <c r="L86" s="210"/>
      <c r="M86" s="210">
        <v>500000</v>
      </c>
      <c r="N86" s="210"/>
      <c r="O86" s="210">
        <v>800000</v>
      </c>
      <c r="P86" s="210"/>
      <c r="Q86" s="210">
        <v>1500000</v>
      </c>
      <c r="R86" s="210"/>
      <c r="S86" s="210">
        <v>1000000</v>
      </c>
      <c r="T86" s="210"/>
      <c r="U86" s="210">
        <v>0</v>
      </c>
      <c r="V86" s="210"/>
      <c r="W86" s="210">
        <v>0</v>
      </c>
      <c r="X86" s="210"/>
      <c r="Y86" s="210">
        <v>0</v>
      </c>
      <c r="Z86" s="210"/>
      <c r="AA86" s="291">
        <f>SUM(C86:Y86)</f>
        <v>4600000</v>
      </c>
      <c r="AB86" s="211"/>
      <c r="AC86" s="192"/>
      <c r="AD86" s="192"/>
      <c r="AE86" s="192"/>
    </row>
    <row r="87" spans="1:31" hidden="1" x14ac:dyDescent="0.3">
      <c r="A87" s="231" t="s">
        <v>289</v>
      </c>
      <c r="B87" s="231" t="s">
        <v>250</v>
      </c>
      <c r="C87" s="210">
        <v>0</v>
      </c>
      <c r="D87" s="210"/>
      <c r="E87" s="210">
        <v>800000</v>
      </c>
      <c r="F87" s="210"/>
      <c r="G87" s="210">
        <v>1800000</v>
      </c>
      <c r="H87" s="210"/>
      <c r="I87" s="210">
        <v>2500000</v>
      </c>
      <c r="J87" s="210"/>
      <c r="K87" s="210">
        <v>2500000</v>
      </c>
      <c r="L87" s="210"/>
      <c r="M87" s="210">
        <v>2700000</v>
      </c>
      <c r="N87" s="210"/>
      <c r="O87" s="210">
        <v>2500000</v>
      </c>
      <c r="P87" s="210"/>
      <c r="Q87" s="210">
        <v>1000000</v>
      </c>
      <c r="R87" s="210"/>
      <c r="S87" s="210">
        <v>0</v>
      </c>
      <c r="T87" s="210"/>
      <c r="U87" s="210">
        <v>0</v>
      </c>
      <c r="V87" s="210"/>
      <c r="W87" s="210">
        <v>0</v>
      </c>
      <c r="X87" s="210"/>
      <c r="Y87" s="210">
        <v>0</v>
      </c>
      <c r="Z87" s="210"/>
      <c r="AA87" s="291">
        <f>SUM(C87:Y87)</f>
        <v>13800000</v>
      </c>
      <c r="AB87" s="211"/>
      <c r="AC87" s="192"/>
      <c r="AD87" s="192"/>
      <c r="AE87" s="192"/>
    </row>
    <row r="88" spans="1:31" hidden="1" x14ac:dyDescent="0.3">
      <c r="A88" s="231" t="s">
        <v>294</v>
      </c>
      <c r="B88" s="231" t="s">
        <v>250</v>
      </c>
      <c r="C88" s="210">
        <v>2000000</v>
      </c>
      <c r="D88" s="210"/>
      <c r="E88" s="210">
        <v>2000000</v>
      </c>
      <c r="F88" s="210"/>
      <c r="G88" s="210">
        <v>2000000</v>
      </c>
      <c r="H88" s="210"/>
      <c r="I88" s="210">
        <v>3000000</v>
      </c>
      <c r="J88" s="210"/>
      <c r="K88" s="210">
        <v>3000000</v>
      </c>
      <c r="L88" s="210"/>
      <c r="M88" s="210">
        <v>4000000</v>
      </c>
      <c r="N88" s="210"/>
      <c r="O88" s="210">
        <v>4000000</v>
      </c>
      <c r="P88" s="210"/>
      <c r="Q88" s="210">
        <v>4500000</v>
      </c>
      <c r="R88" s="210"/>
      <c r="S88" s="210">
        <v>2000000</v>
      </c>
      <c r="T88" s="210"/>
      <c r="U88" s="210">
        <v>4000000</v>
      </c>
      <c r="V88" s="210"/>
      <c r="W88" s="210">
        <v>3500000</v>
      </c>
      <c r="X88" s="210"/>
      <c r="Y88" s="210">
        <v>2000000</v>
      </c>
      <c r="Z88" s="210"/>
      <c r="AA88" s="291">
        <f>SUM(C88:Y88)</f>
        <v>36000000</v>
      </c>
      <c r="AB88" s="211"/>
      <c r="AC88" s="192"/>
      <c r="AD88" s="192"/>
      <c r="AE88" s="192"/>
    </row>
    <row r="89" spans="1:31" hidden="1" x14ac:dyDescent="0.3">
      <c r="A89" s="231" t="s">
        <v>291</v>
      </c>
      <c r="B89" s="231" t="s">
        <v>250</v>
      </c>
      <c r="C89" s="210">
        <v>0</v>
      </c>
      <c r="D89" s="210"/>
      <c r="E89" s="210">
        <v>100000</v>
      </c>
      <c r="F89" s="210"/>
      <c r="G89" s="210">
        <v>100000</v>
      </c>
      <c r="H89" s="210"/>
      <c r="I89" s="210">
        <v>100000</v>
      </c>
      <c r="J89" s="210"/>
      <c r="K89" s="210">
        <v>100000</v>
      </c>
      <c r="L89" s="210"/>
      <c r="M89" s="210">
        <v>100000</v>
      </c>
      <c r="N89" s="210"/>
      <c r="O89" s="210">
        <v>100000</v>
      </c>
      <c r="P89" s="210"/>
      <c r="Q89" s="210">
        <v>50000</v>
      </c>
      <c r="R89" s="210"/>
      <c r="S89" s="210">
        <v>50000</v>
      </c>
      <c r="T89" s="210"/>
      <c r="U89" s="210">
        <v>100000</v>
      </c>
      <c r="V89" s="210"/>
      <c r="W89" s="210">
        <v>100000</v>
      </c>
      <c r="X89" s="210"/>
      <c r="Y89" s="210">
        <v>100000</v>
      </c>
      <c r="Z89" s="210"/>
      <c r="AA89" s="291">
        <f>SUM(C89:Y89)</f>
        <v>1000000</v>
      </c>
      <c r="AB89" s="211"/>
      <c r="AC89" s="192"/>
      <c r="AD89" s="192"/>
      <c r="AE89" s="192"/>
    </row>
    <row r="90" spans="1:31" hidden="1" x14ac:dyDescent="0.3">
      <c r="A90" s="231" t="s">
        <v>295</v>
      </c>
      <c r="B90" s="231" t="s">
        <v>250</v>
      </c>
      <c r="C90" s="210">
        <v>0</v>
      </c>
      <c r="D90" s="210"/>
      <c r="E90" s="210">
        <v>0</v>
      </c>
      <c r="F90" s="210"/>
      <c r="G90" s="210">
        <v>0</v>
      </c>
      <c r="H90" s="210"/>
      <c r="I90" s="210">
        <v>0</v>
      </c>
      <c r="J90" s="210"/>
      <c r="K90" s="210">
        <v>0</v>
      </c>
      <c r="L90" s="210"/>
      <c r="M90" s="210">
        <v>50000</v>
      </c>
      <c r="N90" s="210"/>
      <c r="O90" s="210">
        <v>130000</v>
      </c>
      <c r="P90" s="210"/>
      <c r="Q90" s="210">
        <v>400000</v>
      </c>
      <c r="R90" s="210"/>
      <c r="S90" s="210">
        <v>300000</v>
      </c>
      <c r="T90" s="210"/>
      <c r="U90" s="210">
        <v>200000</v>
      </c>
      <c r="V90" s="210"/>
      <c r="W90" s="210">
        <v>50000</v>
      </c>
      <c r="X90" s="210"/>
      <c r="Y90" s="210">
        <v>50000</v>
      </c>
      <c r="Z90" s="210"/>
      <c r="AA90" s="291">
        <f>SUM(C90:Y90)</f>
        <v>1180000</v>
      </c>
      <c r="AB90" s="211"/>
      <c r="AC90" s="192"/>
      <c r="AD90" s="192"/>
      <c r="AE90" s="192"/>
    </row>
    <row r="91" spans="1:31" hidden="1" x14ac:dyDescent="0.3">
      <c r="A91" s="173" t="s">
        <v>277</v>
      </c>
      <c r="AA91" s="192"/>
      <c r="AB91" s="192"/>
      <c r="AC91" s="192"/>
      <c r="AD91" s="192"/>
      <c r="AE91" s="192"/>
    </row>
    <row r="92" spans="1:31" hidden="1" x14ac:dyDescent="0.3">
      <c r="A92" s="231" t="s">
        <v>287</v>
      </c>
      <c r="B92" s="231" t="s">
        <v>292</v>
      </c>
      <c r="C92" s="279">
        <v>0</v>
      </c>
      <c r="D92" s="279"/>
      <c r="E92" s="279">
        <v>0</v>
      </c>
      <c r="F92" s="279"/>
      <c r="G92" s="279">
        <v>0</v>
      </c>
      <c r="H92" s="279"/>
      <c r="I92" s="279">
        <v>110</v>
      </c>
      <c r="J92" s="279"/>
      <c r="K92" s="279">
        <v>110</v>
      </c>
      <c r="L92" s="279"/>
      <c r="M92" s="279">
        <v>110</v>
      </c>
      <c r="N92" s="279"/>
      <c r="O92" s="279">
        <v>110</v>
      </c>
      <c r="P92" s="279"/>
      <c r="Q92" s="279">
        <v>110</v>
      </c>
      <c r="R92" s="279"/>
      <c r="S92" s="279">
        <v>110</v>
      </c>
      <c r="T92" s="279"/>
      <c r="U92" s="279">
        <v>0</v>
      </c>
      <c r="V92" s="279"/>
      <c r="W92" s="279">
        <v>0</v>
      </c>
      <c r="X92" s="279"/>
      <c r="Y92" s="279">
        <v>0</v>
      </c>
      <c r="Z92" s="279"/>
      <c r="AA92" s="292"/>
      <c r="AB92" s="211"/>
      <c r="AC92" s="192"/>
      <c r="AD92" s="192"/>
      <c r="AE92" s="192"/>
    </row>
    <row r="93" spans="1:31" hidden="1" x14ac:dyDescent="0.3">
      <c r="A93" s="231" t="s">
        <v>289</v>
      </c>
      <c r="B93" s="231" t="s">
        <v>292</v>
      </c>
      <c r="C93" s="279">
        <v>0</v>
      </c>
      <c r="D93" s="279"/>
      <c r="E93" s="279">
        <v>120</v>
      </c>
      <c r="F93" s="279"/>
      <c r="G93" s="279">
        <v>120</v>
      </c>
      <c r="H93" s="279"/>
      <c r="I93" s="279">
        <v>120</v>
      </c>
      <c r="J93" s="279"/>
      <c r="K93" s="279">
        <v>120</v>
      </c>
      <c r="L93" s="279"/>
      <c r="M93" s="279">
        <v>120</v>
      </c>
      <c r="N93" s="279"/>
      <c r="O93" s="279">
        <v>120</v>
      </c>
      <c r="P93" s="279"/>
      <c r="Q93" s="279">
        <v>120</v>
      </c>
      <c r="R93" s="279"/>
      <c r="S93" s="279">
        <v>0</v>
      </c>
      <c r="T93" s="279"/>
      <c r="U93" s="279">
        <v>0</v>
      </c>
      <c r="V93" s="279"/>
      <c r="W93" s="279">
        <v>0</v>
      </c>
      <c r="X93" s="279"/>
      <c r="Y93" s="279">
        <v>0</v>
      </c>
      <c r="Z93" s="279"/>
      <c r="AA93" s="292"/>
      <c r="AB93" s="211"/>
      <c r="AC93" s="192"/>
      <c r="AD93" s="192"/>
      <c r="AE93" s="192"/>
    </row>
    <row r="94" spans="1:31" hidden="1" x14ac:dyDescent="0.3">
      <c r="A94" s="231" t="s">
        <v>294</v>
      </c>
      <c r="B94" s="231" t="s">
        <v>292</v>
      </c>
      <c r="C94" s="279">
        <v>55</v>
      </c>
      <c r="D94" s="279"/>
      <c r="E94" s="279">
        <v>55</v>
      </c>
      <c r="F94" s="279"/>
      <c r="G94" s="279">
        <v>55</v>
      </c>
      <c r="H94" s="279"/>
      <c r="I94" s="279">
        <v>62</v>
      </c>
      <c r="J94" s="279"/>
      <c r="K94" s="279">
        <v>62</v>
      </c>
      <c r="L94" s="279"/>
      <c r="M94" s="279">
        <v>62</v>
      </c>
      <c r="N94" s="279"/>
      <c r="O94" s="279">
        <v>62</v>
      </c>
      <c r="P94" s="279"/>
      <c r="Q94" s="279">
        <v>62</v>
      </c>
      <c r="R94" s="279"/>
      <c r="S94" s="279">
        <v>62</v>
      </c>
      <c r="T94" s="279"/>
      <c r="U94" s="279">
        <v>62</v>
      </c>
      <c r="V94" s="279"/>
      <c r="W94" s="279">
        <v>62</v>
      </c>
      <c r="X94" s="279"/>
      <c r="Y94" s="279">
        <v>62</v>
      </c>
      <c r="Z94" s="279"/>
      <c r="AA94" s="292"/>
      <c r="AB94" s="211"/>
      <c r="AC94" s="192"/>
      <c r="AD94" s="192"/>
      <c r="AE94" s="192"/>
    </row>
    <row r="95" spans="1:31" hidden="1" x14ac:dyDescent="0.3">
      <c r="A95" s="231" t="s">
        <v>291</v>
      </c>
      <c r="B95" s="231" t="s">
        <v>292</v>
      </c>
      <c r="C95" s="279">
        <v>0</v>
      </c>
      <c r="D95" s="279"/>
      <c r="E95" s="279">
        <v>60</v>
      </c>
      <c r="F95" s="279"/>
      <c r="G95" s="279">
        <v>60</v>
      </c>
      <c r="H95" s="279"/>
      <c r="I95" s="279">
        <v>60</v>
      </c>
      <c r="J95" s="279"/>
      <c r="K95" s="279">
        <v>60</v>
      </c>
      <c r="L95" s="279"/>
      <c r="M95" s="279">
        <v>60</v>
      </c>
      <c r="N95" s="279"/>
      <c r="O95" s="279">
        <v>60</v>
      </c>
      <c r="P95" s="279"/>
      <c r="Q95" s="279">
        <v>60</v>
      </c>
      <c r="R95" s="279"/>
      <c r="S95" s="279">
        <v>60</v>
      </c>
      <c r="T95" s="279"/>
      <c r="U95" s="279">
        <v>60</v>
      </c>
      <c r="V95" s="279"/>
      <c r="W95" s="279">
        <v>60</v>
      </c>
      <c r="X95" s="279"/>
      <c r="Y95" s="279">
        <v>60</v>
      </c>
      <c r="Z95" s="279"/>
      <c r="AA95" s="292"/>
      <c r="AB95" s="211"/>
      <c r="AC95" s="192"/>
      <c r="AD95" s="192"/>
      <c r="AE95" s="192"/>
    </row>
    <row r="96" spans="1:31" hidden="1" x14ac:dyDescent="0.3">
      <c r="A96" s="231" t="s">
        <v>295</v>
      </c>
      <c r="B96" s="231" t="s">
        <v>292</v>
      </c>
      <c r="C96" s="279">
        <v>0</v>
      </c>
      <c r="D96" s="279"/>
      <c r="E96" s="279">
        <v>0</v>
      </c>
      <c r="F96" s="279"/>
      <c r="G96" s="279">
        <v>0</v>
      </c>
      <c r="H96" s="279"/>
      <c r="I96" s="279">
        <v>0</v>
      </c>
      <c r="J96" s="279"/>
      <c r="K96" s="279">
        <v>0</v>
      </c>
      <c r="L96" s="279"/>
      <c r="M96" s="279">
        <v>310</v>
      </c>
      <c r="N96" s="279"/>
      <c r="O96" s="279">
        <v>310</v>
      </c>
      <c r="P96" s="279"/>
      <c r="Q96" s="279">
        <v>310</v>
      </c>
      <c r="R96" s="279"/>
      <c r="S96" s="279">
        <v>310</v>
      </c>
      <c r="T96" s="279"/>
      <c r="U96" s="279">
        <v>310</v>
      </c>
      <c r="V96" s="279"/>
      <c r="W96" s="279">
        <v>310</v>
      </c>
      <c r="X96" s="279"/>
      <c r="Y96" s="279">
        <v>310</v>
      </c>
      <c r="Z96" s="279"/>
      <c r="AA96" s="292"/>
      <c r="AB96" s="211"/>
      <c r="AC96" s="192"/>
      <c r="AD96" s="192"/>
      <c r="AE96" s="192"/>
    </row>
    <row r="97" spans="1:31" x14ac:dyDescent="0.3">
      <c r="AA97" s="192"/>
      <c r="AB97" s="192"/>
      <c r="AC97" s="192"/>
      <c r="AD97" s="192"/>
      <c r="AE97" s="192"/>
    </row>
    <row r="98" spans="1:31" hidden="1" x14ac:dyDescent="0.3">
      <c r="A98" s="287" t="s">
        <v>296</v>
      </c>
      <c r="B98" s="293"/>
      <c r="AA98" s="192"/>
      <c r="AB98" s="192"/>
      <c r="AC98" s="192"/>
      <c r="AD98" s="192"/>
      <c r="AE98" s="192"/>
    </row>
    <row r="99" spans="1:31" hidden="1" x14ac:dyDescent="0.3">
      <c r="AA99" s="192"/>
      <c r="AB99" s="192"/>
      <c r="AC99" s="192"/>
      <c r="AD99" s="192"/>
      <c r="AE99" s="192"/>
    </row>
    <row r="100" spans="1:31" hidden="1" x14ac:dyDescent="0.3">
      <c r="A100" s="231" t="s">
        <v>297</v>
      </c>
      <c r="B100" s="231" t="s">
        <v>298</v>
      </c>
      <c r="C100" s="210">
        <f t="shared" ref="C100:Y100" si="74">(C41*C59+C43*C60)</f>
        <v>21213500</v>
      </c>
      <c r="D100" s="210"/>
      <c r="E100" s="210">
        <f t="shared" si="74"/>
        <v>39222500</v>
      </c>
      <c r="F100" s="210"/>
      <c r="G100" s="210">
        <f t="shared" si="74"/>
        <v>41084300</v>
      </c>
      <c r="H100" s="210"/>
      <c r="I100" s="210">
        <f t="shared" si="74"/>
        <v>39222500</v>
      </c>
      <c r="J100" s="210"/>
      <c r="K100" s="210">
        <f t="shared" si="74"/>
        <v>31172400.000000004</v>
      </c>
      <c r="L100" s="210"/>
      <c r="M100" s="210">
        <f t="shared" si="74"/>
        <v>25917300</v>
      </c>
      <c r="N100" s="210"/>
      <c r="O100" s="210">
        <f t="shared" si="74"/>
        <v>45875700</v>
      </c>
      <c r="P100" s="210"/>
      <c r="Q100" s="210">
        <f t="shared" si="74"/>
        <v>36072400</v>
      </c>
      <c r="R100" s="210"/>
      <c r="S100" s="210">
        <f t="shared" si="74"/>
        <v>64072400</v>
      </c>
      <c r="T100" s="210"/>
      <c r="U100" s="210">
        <f t="shared" si="74"/>
        <v>28280000</v>
      </c>
      <c r="V100" s="210"/>
      <c r="W100" s="210">
        <f t="shared" si="74"/>
        <v>28280000</v>
      </c>
      <c r="X100" s="210"/>
      <c r="Y100" s="210">
        <f t="shared" si="74"/>
        <v>28280000</v>
      </c>
      <c r="Z100" s="210"/>
      <c r="AA100" s="291">
        <f>SUM(C100:Y100)</f>
        <v>428693000</v>
      </c>
      <c r="AB100" s="192"/>
      <c r="AC100" s="192"/>
      <c r="AD100" s="192"/>
      <c r="AE100" s="192"/>
    </row>
    <row r="101" spans="1:31" hidden="1" x14ac:dyDescent="0.3">
      <c r="A101" s="231" t="s">
        <v>299</v>
      </c>
      <c r="B101" s="231" t="s">
        <v>298</v>
      </c>
      <c r="C101" s="210">
        <f t="shared" ref="C101:W101" si="75">C52*C64</f>
        <v>0</v>
      </c>
      <c r="D101" s="210"/>
      <c r="E101" s="210">
        <f t="shared" si="75"/>
        <v>18200000</v>
      </c>
      <c r="F101" s="210"/>
      <c r="G101" s="210">
        <f t="shared" si="75"/>
        <v>18200000</v>
      </c>
      <c r="H101" s="210"/>
      <c r="I101" s="210">
        <f t="shared" si="75"/>
        <v>18200000</v>
      </c>
      <c r="J101" s="210"/>
      <c r="K101" s="210">
        <f t="shared" si="75"/>
        <v>18200000</v>
      </c>
      <c r="L101" s="210"/>
      <c r="M101" s="210">
        <f t="shared" si="75"/>
        <v>18200000</v>
      </c>
      <c r="N101" s="210"/>
      <c r="O101" s="210">
        <f t="shared" si="75"/>
        <v>18200000</v>
      </c>
      <c r="P101" s="210"/>
      <c r="Q101" s="210">
        <f t="shared" si="75"/>
        <v>0</v>
      </c>
      <c r="R101" s="210"/>
      <c r="S101" s="210">
        <f t="shared" si="75"/>
        <v>0</v>
      </c>
      <c r="T101" s="210"/>
      <c r="U101" s="210">
        <f t="shared" si="75"/>
        <v>0</v>
      </c>
      <c r="V101" s="210"/>
      <c r="W101" s="210">
        <f t="shared" si="75"/>
        <v>1204207.2</v>
      </c>
      <c r="X101" s="210"/>
      <c r="Y101" s="210">
        <f>AA52*Y64</f>
        <v>110781160</v>
      </c>
      <c r="Z101" s="210"/>
      <c r="AA101" s="291">
        <f>SUM(C101:Y101)</f>
        <v>221185367.19999999</v>
      </c>
      <c r="AB101" s="192"/>
      <c r="AC101" s="192"/>
      <c r="AD101" s="192"/>
      <c r="AE101" s="192"/>
    </row>
    <row r="102" spans="1:31" hidden="1" x14ac:dyDescent="0.3">
      <c r="A102" s="231" t="s">
        <v>300</v>
      </c>
      <c r="B102" s="231" t="s">
        <v>298</v>
      </c>
      <c r="C102" s="210">
        <f>C69*C70</f>
        <v>108000</v>
      </c>
      <c r="D102" s="210"/>
      <c r="E102" s="210">
        <f t="shared" ref="E102:Y102" si="76">E69*E70</f>
        <v>186000</v>
      </c>
      <c r="F102" s="210"/>
      <c r="G102" s="210">
        <f t="shared" si="76"/>
        <v>180000</v>
      </c>
      <c r="H102" s="210"/>
      <c r="I102" s="210">
        <f t="shared" si="76"/>
        <v>186000</v>
      </c>
      <c r="J102" s="210"/>
      <c r="K102" s="210">
        <f t="shared" si="76"/>
        <v>186000</v>
      </c>
      <c r="L102" s="210"/>
      <c r="M102" s="210">
        <f t="shared" si="76"/>
        <v>180000</v>
      </c>
      <c r="N102" s="210"/>
      <c r="O102" s="210">
        <f t="shared" si="76"/>
        <v>186000</v>
      </c>
      <c r="P102" s="210"/>
      <c r="Q102" s="210">
        <f t="shared" si="76"/>
        <v>88000</v>
      </c>
      <c r="R102" s="210"/>
      <c r="S102" s="210">
        <f t="shared" si="76"/>
        <v>0</v>
      </c>
      <c r="T102" s="210"/>
      <c r="U102" s="210">
        <f t="shared" si="76"/>
        <v>0</v>
      </c>
      <c r="V102" s="210"/>
      <c r="W102" s="210">
        <f t="shared" si="76"/>
        <v>0</v>
      </c>
      <c r="X102" s="210"/>
      <c r="Y102" s="210">
        <f t="shared" si="76"/>
        <v>0</v>
      </c>
      <c r="Z102" s="210"/>
      <c r="AA102" s="291">
        <f>SUM(C102:Y102)</f>
        <v>1300000</v>
      </c>
      <c r="AB102" s="192"/>
      <c r="AC102" s="192"/>
      <c r="AD102" s="192"/>
      <c r="AE102" s="192"/>
    </row>
    <row r="103" spans="1:31" hidden="1" x14ac:dyDescent="0.3">
      <c r="A103" s="231" t="s">
        <v>301</v>
      </c>
      <c r="B103" s="231" t="s">
        <v>298</v>
      </c>
      <c r="C103" s="210">
        <f>(C74*C79+C75*C80+C76*C81+C77*C82)/1000</f>
        <v>7300</v>
      </c>
      <c r="D103" s="210"/>
      <c r="E103" s="210">
        <f t="shared" ref="E103:Y103" si="77">(E74*E79+E75*E80+E76*E81+E77*E82)/1000</f>
        <v>36650</v>
      </c>
      <c r="F103" s="210"/>
      <c r="G103" s="210">
        <f t="shared" si="77"/>
        <v>39500</v>
      </c>
      <c r="H103" s="210"/>
      <c r="I103" s="210">
        <f t="shared" si="77"/>
        <v>40850</v>
      </c>
      <c r="J103" s="210"/>
      <c r="K103" s="210">
        <f t="shared" si="77"/>
        <v>45500</v>
      </c>
      <c r="L103" s="210"/>
      <c r="M103" s="210">
        <f t="shared" si="77"/>
        <v>48050</v>
      </c>
      <c r="N103" s="210"/>
      <c r="O103" s="210">
        <f t="shared" si="77"/>
        <v>45500</v>
      </c>
      <c r="P103" s="210"/>
      <c r="Q103" s="210">
        <f t="shared" si="77"/>
        <v>40850</v>
      </c>
      <c r="R103" s="210"/>
      <c r="S103" s="210">
        <f t="shared" si="77"/>
        <v>30500</v>
      </c>
      <c r="T103" s="210"/>
      <c r="U103" s="210">
        <f t="shared" si="77"/>
        <v>4000</v>
      </c>
      <c r="V103" s="210"/>
      <c r="W103" s="210">
        <f t="shared" si="77"/>
        <v>4000</v>
      </c>
      <c r="X103" s="210"/>
      <c r="Y103" s="210">
        <f t="shared" si="77"/>
        <v>4000</v>
      </c>
      <c r="Z103" s="210"/>
      <c r="AA103" s="291">
        <f>SUM(C103:Y103)</f>
        <v>346700</v>
      </c>
      <c r="AB103" s="192"/>
      <c r="AC103" s="192"/>
      <c r="AD103" s="192"/>
      <c r="AE103" s="192"/>
    </row>
    <row r="104" spans="1:31" hidden="1" x14ac:dyDescent="0.3">
      <c r="A104" s="231" t="s">
        <v>302</v>
      </c>
      <c r="B104" s="231" t="s">
        <v>298</v>
      </c>
      <c r="C104" s="210">
        <f>(C86*C92+C87*C93+C89*C95+C90*C96+C88*C94)/1000</f>
        <v>110000</v>
      </c>
      <c r="D104" s="210"/>
      <c r="E104" s="210">
        <f t="shared" ref="E104:Y104" si="78">(E86*E92+E87*E93+E89*E95+E90*E96+E88*E94)/1000</f>
        <v>212000</v>
      </c>
      <c r="F104" s="210"/>
      <c r="G104" s="210">
        <f t="shared" si="78"/>
        <v>332000</v>
      </c>
      <c r="H104" s="210"/>
      <c r="I104" s="210">
        <f t="shared" si="78"/>
        <v>525000</v>
      </c>
      <c r="J104" s="210"/>
      <c r="K104" s="210">
        <f t="shared" si="78"/>
        <v>547000</v>
      </c>
      <c r="L104" s="210"/>
      <c r="M104" s="210">
        <f t="shared" si="78"/>
        <v>648500</v>
      </c>
      <c r="N104" s="210"/>
      <c r="O104" s="210">
        <f t="shared" si="78"/>
        <v>682300</v>
      </c>
      <c r="P104" s="210"/>
      <c r="Q104" s="210">
        <f t="shared" si="78"/>
        <v>691000</v>
      </c>
      <c r="R104" s="210"/>
      <c r="S104" s="210">
        <f t="shared" si="78"/>
        <v>330000</v>
      </c>
      <c r="T104" s="210"/>
      <c r="U104" s="210">
        <f t="shared" si="78"/>
        <v>316000</v>
      </c>
      <c r="V104" s="210"/>
      <c r="W104" s="210">
        <f t="shared" si="78"/>
        <v>238500</v>
      </c>
      <c r="X104" s="210"/>
      <c r="Y104" s="210">
        <f t="shared" si="78"/>
        <v>145500</v>
      </c>
      <c r="Z104" s="210"/>
      <c r="AA104" s="291">
        <f>SUM(C104:Y104)</f>
        <v>4777800</v>
      </c>
      <c r="AB104" s="192"/>
      <c r="AC104" s="192"/>
      <c r="AD104" s="192"/>
      <c r="AE104" s="192"/>
    </row>
    <row r="105" spans="1:31" hidden="1" x14ac:dyDescent="0.3">
      <c r="A105" s="73" t="s">
        <v>114</v>
      </c>
      <c r="B105" s="73" t="s">
        <v>298</v>
      </c>
      <c r="C105" s="270">
        <f>SUM(C100:C104)</f>
        <v>21438800</v>
      </c>
      <c r="D105" s="270"/>
      <c r="E105" s="270">
        <f t="shared" ref="E105:AA105" si="79">SUM(E100:E104)</f>
        <v>57857150</v>
      </c>
      <c r="F105" s="270"/>
      <c r="G105" s="270">
        <f t="shared" si="79"/>
        <v>59835800</v>
      </c>
      <c r="H105" s="270"/>
      <c r="I105" s="270">
        <f t="shared" si="79"/>
        <v>58174350</v>
      </c>
      <c r="J105" s="270"/>
      <c r="K105" s="270">
        <f t="shared" si="79"/>
        <v>50150900</v>
      </c>
      <c r="L105" s="270"/>
      <c r="M105" s="270">
        <f t="shared" si="79"/>
        <v>44993850</v>
      </c>
      <c r="N105" s="270"/>
      <c r="O105" s="270">
        <f t="shared" si="79"/>
        <v>64989500</v>
      </c>
      <c r="P105" s="270"/>
      <c r="Q105" s="270">
        <f t="shared" si="79"/>
        <v>36892250</v>
      </c>
      <c r="R105" s="270"/>
      <c r="S105" s="270">
        <f t="shared" si="79"/>
        <v>64432900</v>
      </c>
      <c r="T105" s="270"/>
      <c r="U105" s="270">
        <f t="shared" si="79"/>
        <v>28600000</v>
      </c>
      <c r="V105" s="270"/>
      <c r="W105" s="270">
        <f t="shared" si="79"/>
        <v>29726707.199999999</v>
      </c>
      <c r="X105" s="270"/>
      <c r="Y105" s="270">
        <f t="shared" si="79"/>
        <v>139210660</v>
      </c>
      <c r="Z105" s="270"/>
      <c r="AA105" s="270">
        <f t="shared" si="79"/>
        <v>656302867.20000005</v>
      </c>
      <c r="AB105" s="192"/>
      <c r="AC105" s="192"/>
      <c r="AD105" s="192"/>
      <c r="AE105" s="192"/>
    </row>
    <row r="106" spans="1:31" hidden="1" x14ac:dyDescent="0.3">
      <c r="AA106" s="192"/>
      <c r="AB106" s="192"/>
      <c r="AC106" s="192"/>
      <c r="AD106" s="192"/>
      <c r="AE106" s="192"/>
    </row>
    <row r="107" spans="1:31" x14ac:dyDescent="0.3">
      <c r="C107" s="193"/>
      <c r="D107" s="193"/>
      <c r="AA107" s="225">
        <f>AA59*AB41</f>
        <v>0</v>
      </c>
      <c r="AB107" s="192" t="s">
        <v>138</v>
      </c>
      <c r="AC107" s="192"/>
      <c r="AD107" s="192"/>
      <c r="AE107" s="192"/>
    </row>
    <row r="108" spans="1:31" x14ac:dyDescent="0.3">
      <c r="C108" s="193"/>
      <c r="D108" s="193"/>
      <c r="Z108" s="192" t="s">
        <v>72</v>
      </c>
      <c r="AA108" s="225">
        <f>AA63*AA49</f>
        <v>483695902.95000005</v>
      </c>
      <c r="AB108" s="225">
        <f>AA63*AC49</f>
        <v>35966493.161884516</v>
      </c>
      <c r="AC108" s="262">
        <f>AA108+AB108</f>
        <v>519662396.11188459</v>
      </c>
      <c r="AD108" s="192"/>
      <c r="AE108" s="192"/>
    </row>
    <row r="109" spans="1:31" x14ac:dyDescent="0.3">
      <c r="Z109" s="192" t="s">
        <v>303</v>
      </c>
      <c r="AA109" s="225">
        <f>AA64*AA52</f>
        <v>110781160</v>
      </c>
      <c r="AB109" s="192"/>
      <c r="AC109" s="262">
        <f>AA109</f>
        <v>110781160</v>
      </c>
      <c r="AD109" s="192"/>
      <c r="AE109" s="192"/>
    </row>
    <row r="110" spans="1:31" x14ac:dyDescent="0.3">
      <c r="AA110" s="225">
        <f>AA108+AA109</f>
        <v>594477062.95000005</v>
      </c>
      <c r="AB110" s="192"/>
      <c r="AC110" s="262">
        <f>AC108+AC109</f>
        <v>630443556.11188459</v>
      </c>
      <c r="AD110" s="192"/>
      <c r="AE110" s="192"/>
    </row>
    <row r="111" spans="1:31" x14ac:dyDescent="0.3">
      <c r="AA111" s="297"/>
    </row>
    <row r="112" spans="1:31" x14ac:dyDescent="0.3">
      <c r="AA112" s="225"/>
    </row>
    <row r="113" spans="27:27" x14ac:dyDescent="0.3">
      <c r="AA113" s="225"/>
    </row>
    <row r="114" spans="27:27" x14ac:dyDescent="0.3">
      <c r="AA114" s="316"/>
    </row>
  </sheetData>
  <mergeCells count="8">
    <mergeCell ref="A12:A13"/>
    <mergeCell ref="AE1:AF1"/>
    <mergeCell ref="G3:H3"/>
    <mergeCell ref="I3:J3"/>
    <mergeCell ref="K3:L3"/>
    <mergeCell ref="M3:N3"/>
    <mergeCell ref="O3:P3"/>
    <mergeCell ref="Q3:R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C3A04-2E53-4F59-A05B-1B99AF92447A}">
  <dimension ref="A1:AI114"/>
  <sheetViews>
    <sheetView topLeftCell="A68" workbookViewId="0">
      <selection activeCell="A125" sqref="A125"/>
    </sheetView>
  </sheetViews>
  <sheetFormatPr defaultColWidth="9.109375" defaultRowHeight="14.4" x14ac:dyDescent="0.3"/>
  <cols>
    <col min="1" max="1" width="24.6640625" style="195" customWidth="1"/>
    <col min="2" max="2" width="2.44140625" style="195" customWidth="1"/>
    <col min="3" max="3" width="14.109375" style="192" hidden="1" customWidth="1"/>
    <col min="4" max="4" width="12" style="192" hidden="1" customWidth="1"/>
    <col min="5" max="5" width="14.44140625" style="192" hidden="1" customWidth="1"/>
    <col min="6" max="6" width="12.88671875" style="192" hidden="1" customWidth="1"/>
    <col min="7" max="7" width="14" style="192" hidden="1" customWidth="1"/>
    <col min="8" max="8" width="11.109375" style="192" hidden="1" customWidth="1"/>
    <col min="9" max="9" width="14" style="192" hidden="1" customWidth="1"/>
    <col min="10" max="10" width="12.109375" style="192" hidden="1" customWidth="1"/>
    <col min="11" max="11" width="14" style="192" hidden="1" customWidth="1"/>
    <col min="12" max="12" width="12.109375" style="192" hidden="1" customWidth="1"/>
    <col min="13" max="13" width="14" style="192" hidden="1" customWidth="1"/>
    <col min="14" max="14" width="11.109375" style="192" hidden="1" customWidth="1"/>
    <col min="15" max="15" width="14" style="192" hidden="1" customWidth="1"/>
    <col min="16" max="16" width="11.109375" style="192" hidden="1" customWidth="1"/>
    <col min="17" max="17" width="14" style="192" hidden="1" customWidth="1"/>
    <col min="18" max="18" width="11.109375" style="192" hidden="1" customWidth="1"/>
    <col min="19" max="19" width="14.44140625" style="192" hidden="1" customWidth="1"/>
    <col min="20" max="20" width="11.5546875" style="192" hidden="1" customWidth="1"/>
    <col min="21" max="21" width="13.6640625" style="192" hidden="1" customWidth="1"/>
    <col min="22" max="22" width="11.5546875" style="192" hidden="1" customWidth="1"/>
    <col min="23" max="23" width="14.109375" style="192" hidden="1" customWidth="1"/>
    <col min="24" max="24" width="11.5546875" style="192" hidden="1" customWidth="1"/>
    <col min="25" max="25" width="14.109375" style="192" hidden="1" customWidth="1"/>
    <col min="26" max="26" width="11.5546875" style="192" hidden="1" customWidth="1"/>
    <col min="27" max="27" width="15.33203125" style="195" bestFit="1" customWidth="1"/>
    <col min="28" max="28" width="14" style="195" bestFit="1" customWidth="1"/>
    <col min="29" max="29" width="14.88671875" style="195" bestFit="1" customWidth="1"/>
    <col min="30" max="31" width="16.6640625" style="195" bestFit="1" customWidth="1"/>
    <col min="32" max="32" width="14.88671875" style="195" bestFit="1" customWidth="1"/>
    <col min="33" max="33" width="9.109375" style="195"/>
    <col min="34" max="34" width="21.33203125" style="195" customWidth="1"/>
    <col min="35" max="16384" width="9.109375" style="195"/>
  </cols>
  <sheetData>
    <row r="1" spans="1:32" ht="23.4" x14ac:dyDescent="0.45">
      <c r="A1" s="191" t="s">
        <v>215</v>
      </c>
      <c r="B1" s="71"/>
      <c r="K1" s="193" t="s">
        <v>216</v>
      </c>
      <c r="L1" s="193"/>
      <c r="M1" s="194">
        <f>M2/50</f>
        <v>2.7605926315789473</v>
      </c>
      <c r="N1" s="194"/>
      <c r="O1" s="194"/>
      <c r="P1" s="194"/>
      <c r="S1" s="194"/>
      <c r="T1" s="194"/>
      <c r="AE1" s="422" t="s">
        <v>45</v>
      </c>
      <c r="AF1" s="423"/>
    </row>
    <row r="2" spans="1:32" x14ac:dyDescent="0.3">
      <c r="A2"/>
      <c r="C2" s="195"/>
      <c r="D2" s="195"/>
      <c r="M2" s="192">
        <f>M4*0.89</f>
        <v>138.02963157894737</v>
      </c>
      <c r="AE2" s="3" t="s">
        <v>46</v>
      </c>
      <c r="AF2" s="3">
        <f>AF4*50</f>
        <v>52.475000000000009</v>
      </c>
    </row>
    <row r="3" spans="1:32" x14ac:dyDescent="0.3">
      <c r="C3" s="196">
        <v>45383</v>
      </c>
      <c r="D3" s="196"/>
      <c r="E3" s="196">
        <v>45413</v>
      </c>
      <c r="F3" s="196"/>
      <c r="G3" s="434">
        <v>45444</v>
      </c>
      <c r="H3" s="434"/>
      <c r="I3" s="434">
        <v>45474</v>
      </c>
      <c r="J3" s="434"/>
      <c r="K3" s="434">
        <v>45139</v>
      </c>
      <c r="L3" s="434"/>
      <c r="M3" s="434">
        <v>45170</v>
      </c>
      <c r="N3" s="434"/>
      <c r="O3" s="434">
        <v>45200</v>
      </c>
      <c r="P3" s="434"/>
      <c r="Q3" s="434">
        <v>45231</v>
      </c>
      <c r="R3" s="434"/>
      <c r="S3" s="196">
        <v>45261</v>
      </c>
      <c r="T3" s="196"/>
      <c r="U3" s="196">
        <v>45292</v>
      </c>
      <c r="V3" s="196"/>
      <c r="W3" s="196">
        <v>45323</v>
      </c>
      <c r="X3" s="196"/>
      <c r="Y3" s="196">
        <v>45352</v>
      </c>
      <c r="Z3" s="196"/>
      <c r="AA3" s="195" t="s">
        <v>217</v>
      </c>
      <c r="AB3" s="195" t="s">
        <v>218</v>
      </c>
      <c r="AC3" s="195" t="s">
        <v>217</v>
      </c>
      <c r="AE3" s="3" t="s">
        <v>47</v>
      </c>
      <c r="AF3" s="3">
        <f>AF4*30</f>
        <v>31.485000000000003</v>
      </c>
    </row>
    <row r="4" spans="1:32" x14ac:dyDescent="0.3">
      <c r="B4" s="197" t="s">
        <v>214</v>
      </c>
      <c r="C4" s="198">
        <v>142.32105263157894</v>
      </c>
      <c r="D4" s="198"/>
      <c r="E4" s="198">
        <v>144.45263157894738</v>
      </c>
      <c r="F4" s="198"/>
      <c r="G4" s="198">
        <v>142.33684210526317</v>
      </c>
      <c r="H4" s="198"/>
      <c r="I4" s="198">
        <v>146.34736842105264</v>
      </c>
      <c r="J4" s="198"/>
      <c r="K4" s="198">
        <v>152.35263157894738</v>
      </c>
      <c r="L4" s="198"/>
      <c r="M4" s="198">
        <v>155.08947368421053</v>
      </c>
      <c r="N4" s="198"/>
      <c r="O4" s="198">
        <v>154.45263157894738</v>
      </c>
      <c r="P4" s="198"/>
      <c r="Q4" s="198"/>
      <c r="R4" s="198"/>
      <c r="AE4" s="3" t="s">
        <v>49</v>
      </c>
      <c r="AF4" s="3">
        <v>1.0495000000000001</v>
      </c>
    </row>
    <row r="5" spans="1:32" s="203" customFormat="1" x14ac:dyDescent="0.3">
      <c r="A5" s="199" t="s">
        <v>219</v>
      </c>
      <c r="B5" s="200" t="s">
        <v>220</v>
      </c>
      <c r="C5" s="201">
        <v>85</v>
      </c>
      <c r="D5" s="201"/>
      <c r="E5" s="201">
        <v>88</v>
      </c>
      <c r="F5" s="201"/>
      <c r="G5" s="201">
        <v>87</v>
      </c>
      <c r="H5" s="201"/>
      <c r="I5" s="201">
        <v>88</v>
      </c>
      <c r="J5" s="201"/>
      <c r="K5" s="201">
        <v>88.5</v>
      </c>
      <c r="L5" s="201"/>
      <c r="M5" s="201">
        <v>88.75</v>
      </c>
      <c r="N5" s="201"/>
      <c r="O5" s="201">
        <v>88.5</v>
      </c>
      <c r="P5" s="201"/>
      <c r="Q5" s="201"/>
      <c r="R5" s="201"/>
      <c r="S5" s="202"/>
      <c r="T5" s="202"/>
      <c r="U5" s="202"/>
      <c r="V5" s="202"/>
      <c r="W5" s="202"/>
      <c r="X5" s="202"/>
      <c r="Y5" s="202"/>
      <c r="Z5" s="202"/>
      <c r="AC5" s="203">
        <v>88.55</v>
      </c>
      <c r="AE5" s="3" t="s">
        <v>50</v>
      </c>
      <c r="AF5" s="3">
        <v>1.7492000000000001</v>
      </c>
    </row>
    <row r="6" spans="1:32" s="203" customFormat="1" x14ac:dyDescent="0.3">
      <c r="A6" s="199"/>
      <c r="B6" s="200" t="s">
        <v>221</v>
      </c>
      <c r="C6" s="201">
        <f>C5-100</f>
        <v>-15</v>
      </c>
      <c r="D6" s="201"/>
      <c r="E6" s="201">
        <f>E5-100</f>
        <v>-12</v>
      </c>
      <c r="F6" s="201"/>
      <c r="G6" s="201">
        <f t="shared" ref="G6" si="0">G5-100</f>
        <v>-13</v>
      </c>
      <c r="H6" s="201"/>
      <c r="I6" s="201">
        <f t="shared" ref="I6" si="1">I5-100</f>
        <v>-12</v>
      </c>
      <c r="J6" s="201"/>
      <c r="K6" s="201">
        <f t="shared" ref="K6" si="2">K5-100</f>
        <v>-11.5</v>
      </c>
      <c r="L6" s="201"/>
      <c r="M6" s="201">
        <f t="shared" ref="M6" si="3">M5-100</f>
        <v>-11.25</v>
      </c>
      <c r="N6" s="201"/>
      <c r="O6" s="201">
        <f>O5-100</f>
        <v>-11.5</v>
      </c>
      <c r="P6" s="201"/>
      <c r="Q6" s="201"/>
      <c r="R6" s="201"/>
      <c r="S6" s="202"/>
      <c r="T6" s="202"/>
      <c r="U6" s="202"/>
      <c r="V6" s="202"/>
      <c r="W6" s="202"/>
      <c r="X6" s="202"/>
      <c r="Y6" s="202"/>
      <c r="Z6" s="202"/>
      <c r="AC6" s="201">
        <f>AC5-100</f>
        <v>-11.450000000000003</v>
      </c>
      <c r="AE6" s="3" t="s">
        <v>51</v>
      </c>
      <c r="AF6" s="3">
        <v>1.6760999999999999</v>
      </c>
    </row>
    <row r="7" spans="1:32" x14ac:dyDescent="0.3">
      <c r="C7" s="195"/>
      <c r="D7" s="19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AE7" s="3" t="s">
        <v>93</v>
      </c>
      <c r="AF7" s="3">
        <f>AF2*20</f>
        <v>1049.5000000000002</v>
      </c>
    </row>
    <row r="8" spans="1:32" x14ac:dyDescent="0.3"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204"/>
      <c r="T8" s="204"/>
    </row>
    <row r="9" spans="1:32" x14ac:dyDescent="0.3">
      <c r="C9" s="205"/>
      <c r="D9" s="205"/>
      <c r="S9" s="204"/>
      <c r="T9" s="204"/>
      <c r="AB9" s="206"/>
      <c r="AC9" s="206"/>
    </row>
    <row r="10" spans="1:32" x14ac:dyDescent="0.3">
      <c r="E10" s="207"/>
      <c r="F10" s="207"/>
      <c r="G10" s="207"/>
      <c r="H10" s="207"/>
      <c r="AC10" s="208" t="s">
        <v>222</v>
      </c>
      <c r="AD10" s="195" t="s">
        <v>223</v>
      </c>
      <c r="AE10" s="206">
        <f>(AC21*AF2+AC22*AF5)/AC11</f>
        <v>134.87065789473687</v>
      </c>
    </row>
    <row r="11" spans="1:32" ht="19.5" customHeight="1" x14ac:dyDescent="0.3">
      <c r="A11" s="209" t="s">
        <v>224</v>
      </c>
      <c r="B11" s="209" t="s">
        <v>225</v>
      </c>
      <c r="C11" s="210">
        <v>60139.999999999993</v>
      </c>
      <c r="D11" s="210"/>
      <c r="E11" s="210">
        <v>301600</v>
      </c>
      <c r="F11" s="210"/>
      <c r="G11" s="210">
        <v>283500</v>
      </c>
      <c r="H11" s="210"/>
      <c r="I11" s="210">
        <v>315000</v>
      </c>
      <c r="J11" s="210"/>
      <c r="K11" s="210">
        <v>318500</v>
      </c>
      <c r="L11" s="210"/>
      <c r="M11" s="210">
        <v>308000</v>
      </c>
      <c r="N11" s="210"/>
      <c r="O11" s="210">
        <v>313260</v>
      </c>
      <c r="P11" s="210"/>
      <c r="Q11" s="210"/>
      <c r="R11" s="210"/>
      <c r="S11" s="210"/>
      <c r="T11" s="210"/>
      <c r="U11" s="211"/>
      <c r="V11" s="211"/>
      <c r="W11" s="212"/>
      <c r="X11" s="212"/>
      <c r="Y11" s="213"/>
      <c r="Z11" s="213"/>
      <c r="AA11" s="214">
        <f>E11+G11+I11+K11+M11+O11+C11</f>
        <v>1900000</v>
      </c>
      <c r="AB11" s="214">
        <f>D11+F11+H11+J11+L11+N11+P11</f>
        <v>0</v>
      </c>
      <c r="AC11" s="215">
        <f>C11+E11+G11+I11+K11+M11+O11</f>
        <v>1900000</v>
      </c>
      <c r="AD11" s="192" t="s">
        <v>226</v>
      </c>
      <c r="AE11" s="216" t="s">
        <v>227</v>
      </c>
      <c r="AF11" s="72" t="s">
        <v>228</v>
      </c>
    </row>
    <row r="12" spans="1:32" s="203" customFormat="1" ht="19.5" customHeight="1" x14ac:dyDescent="0.3">
      <c r="A12" s="432" t="s">
        <v>229</v>
      </c>
      <c r="B12" s="217" t="s">
        <v>87</v>
      </c>
      <c r="C12" s="218">
        <v>72.5</v>
      </c>
      <c r="D12" s="218"/>
      <c r="E12" s="218">
        <v>72.5</v>
      </c>
      <c r="F12" s="218"/>
      <c r="G12" s="218">
        <v>72.5</v>
      </c>
      <c r="H12" s="218"/>
      <c r="I12" s="218">
        <v>72.5</v>
      </c>
      <c r="J12" s="218"/>
      <c r="K12" s="218">
        <v>72.5</v>
      </c>
      <c r="L12" s="218"/>
      <c r="M12" s="218">
        <v>72.5</v>
      </c>
      <c r="N12" s="218"/>
      <c r="O12" s="218">
        <v>72.5</v>
      </c>
      <c r="P12" s="218"/>
      <c r="Q12" s="218"/>
      <c r="R12" s="218"/>
      <c r="S12" s="219"/>
      <c r="T12" s="219"/>
      <c r="U12" s="220"/>
      <c r="V12" s="220"/>
      <c r="W12" s="220"/>
      <c r="X12" s="220"/>
      <c r="Y12" s="220"/>
      <c r="Z12" s="220"/>
      <c r="AA12" s="221">
        <f>($E$12*$E$11+G12*G11+I12*I11+K12*K11+M11*M12+O11*O12+C11*C12)/($E$11+G11+I11+K11+M11+O11+C11)</f>
        <v>72.5</v>
      </c>
      <c r="AB12" s="221"/>
      <c r="AC12" s="222">
        <f>AA12</f>
        <v>72.5</v>
      </c>
      <c r="AD12" s="223">
        <f>SUM(C14:Y14)</f>
        <v>1377500</v>
      </c>
      <c r="AE12" s="202"/>
    </row>
    <row r="13" spans="1:32" s="203" customFormat="1" ht="19.5" customHeight="1" x14ac:dyDescent="0.3">
      <c r="A13" s="433"/>
      <c r="B13" s="217" t="s">
        <v>230</v>
      </c>
      <c r="C13" s="218">
        <f t="shared" ref="C13" si="4">100-C12</f>
        <v>27.5</v>
      </c>
      <c r="D13" s="218"/>
      <c r="E13" s="218">
        <f t="shared" ref="E13" si="5">100-E12</f>
        <v>27.5</v>
      </c>
      <c r="F13" s="218"/>
      <c r="G13" s="218">
        <f t="shared" ref="G13" si="6">100-G12</f>
        <v>27.5</v>
      </c>
      <c r="H13" s="218"/>
      <c r="I13" s="218">
        <f t="shared" ref="I13" si="7">100-I12</f>
        <v>27.5</v>
      </c>
      <c r="J13" s="218"/>
      <c r="K13" s="218">
        <f t="shared" ref="K13" si="8">100-K12</f>
        <v>27.5</v>
      </c>
      <c r="L13" s="218"/>
      <c r="M13" s="218">
        <f t="shared" ref="M13" si="9">100-M12</f>
        <v>27.5</v>
      </c>
      <c r="N13" s="218"/>
      <c r="O13" s="218">
        <f t="shared" ref="O13" si="10">100-O12</f>
        <v>27.5</v>
      </c>
      <c r="P13" s="218"/>
      <c r="Q13" s="218"/>
      <c r="R13" s="218"/>
      <c r="S13" s="219"/>
      <c r="T13" s="219"/>
      <c r="U13" s="220"/>
      <c r="V13" s="220"/>
      <c r="W13" s="220"/>
      <c r="X13" s="220"/>
      <c r="Y13" s="220"/>
      <c r="Z13" s="220"/>
      <c r="AA13" s="221">
        <f>100-AA12</f>
        <v>27.5</v>
      </c>
      <c r="AB13" s="221">
        <f>100-AB12</f>
        <v>100</v>
      </c>
      <c r="AC13" s="222">
        <f>100-AC12</f>
        <v>27.5</v>
      </c>
      <c r="AD13" s="202" t="s">
        <v>231</v>
      </c>
      <c r="AE13" s="202"/>
    </row>
    <row r="14" spans="1:32" ht="19.5" customHeight="1" x14ac:dyDescent="0.3">
      <c r="C14" s="194">
        <f>C11*C12*0.01</f>
        <v>43601.499999999993</v>
      </c>
      <c r="D14" s="194"/>
      <c r="E14" s="194">
        <f t="shared" ref="E14" si="11">E11*E12*0.01</f>
        <v>218660</v>
      </c>
      <c r="F14" s="194"/>
      <c r="G14" s="194">
        <f t="shared" ref="G14" si="12">G11*G12*0.01</f>
        <v>205537.5</v>
      </c>
      <c r="H14" s="194"/>
      <c r="I14" s="194">
        <f t="shared" ref="I14" si="13">I11*I12*0.01</f>
        <v>228375</v>
      </c>
      <c r="J14" s="194"/>
      <c r="K14" s="194">
        <f t="shared" ref="K14" si="14">K11*K12*0.01</f>
        <v>230912.5</v>
      </c>
      <c r="L14" s="194"/>
      <c r="M14" s="194">
        <f t="shared" ref="M14" si="15">M11*M12*0.01</f>
        <v>223300</v>
      </c>
      <c r="N14" s="194"/>
      <c r="O14" s="194">
        <f t="shared" ref="O14" si="16">O11*O12*0.01</f>
        <v>227113.5</v>
      </c>
      <c r="P14" s="194"/>
      <c r="Q14" s="194"/>
      <c r="R14" s="194"/>
      <c r="S14" s="194"/>
      <c r="T14" s="194"/>
      <c r="AA14" s="192"/>
      <c r="AB14" s="194"/>
      <c r="AC14" s="224"/>
      <c r="AD14" s="207">
        <f>AA31</f>
        <v>3550000</v>
      </c>
      <c r="AE14" s="225">
        <f>AD14/AD12</f>
        <v>2.5771324863883849</v>
      </c>
      <c r="AF14" s="226">
        <f>AD12/AA11</f>
        <v>0.72499999999999998</v>
      </c>
    </row>
    <row r="15" spans="1:32" ht="19.5" hidden="1" customHeight="1" x14ac:dyDescent="0.3">
      <c r="A15" s="209" t="s">
        <v>232</v>
      </c>
      <c r="B15" s="209" t="s">
        <v>233</v>
      </c>
      <c r="C15" s="227">
        <v>0</v>
      </c>
      <c r="D15" s="227"/>
      <c r="E15" s="228">
        <f t="shared" ref="E15" si="17">E21/(E12*E11)</f>
        <v>2.492454038232873E-2</v>
      </c>
      <c r="F15" s="228"/>
      <c r="G15" s="228">
        <f t="shared" ref="G15" si="18">G21/(G12*G11)</f>
        <v>2.4569725719151007E-2</v>
      </c>
      <c r="H15" s="228"/>
      <c r="I15" s="228">
        <f t="shared" ref="I15" si="19">I21/(I12*I11)</f>
        <v>2.5177887246852763E-2</v>
      </c>
      <c r="J15" s="228"/>
      <c r="K15" s="228">
        <f t="shared" ref="K15" si="20">K21/(K12*K11)</f>
        <v>2.6416932820873706E-2</v>
      </c>
      <c r="L15" s="228"/>
      <c r="M15" s="228">
        <f t="shared" ref="M15" si="21">M21/(M12*M11)</f>
        <v>2.6869682042095836E-2</v>
      </c>
      <c r="N15" s="228"/>
      <c r="O15" s="228">
        <f t="shared" ref="O15" si="22">O21/(O12*O11)</f>
        <v>2.6638663047330959E-2</v>
      </c>
      <c r="P15" s="228"/>
      <c r="Q15" s="228"/>
      <c r="R15" s="228"/>
      <c r="S15" s="211"/>
      <c r="T15" s="211"/>
      <c r="U15" s="211"/>
      <c r="V15" s="211"/>
      <c r="W15" s="213"/>
      <c r="X15" s="213"/>
      <c r="Y15" s="213"/>
      <c r="Z15" s="213"/>
      <c r="AA15" s="229">
        <f>SUM(C21:Y21)/SUM(C14:Y14)</f>
        <v>2.5771324863883849</v>
      </c>
      <c r="AB15" s="192"/>
      <c r="AC15" s="230"/>
      <c r="AD15" s="192" t="s">
        <v>234</v>
      </c>
      <c r="AE15" s="192"/>
      <c r="AF15" s="226"/>
    </row>
    <row r="16" spans="1:32" ht="19.5" hidden="1" customHeight="1" x14ac:dyDescent="0.3">
      <c r="A16" s="231"/>
      <c r="B16" s="231"/>
      <c r="C16" s="227"/>
      <c r="D16" s="227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11"/>
      <c r="T16" s="211"/>
      <c r="U16" s="211"/>
      <c r="V16" s="211"/>
      <c r="W16" s="211"/>
      <c r="X16" s="211"/>
      <c r="Y16" s="211"/>
      <c r="Z16" s="211"/>
      <c r="AA16" s="232"/>
      <c r="AB16" s="192"/>
      <c r="AC16" s="230"/>
      <c r="AD16" s="207">
        <f>AA11-AD12</f>
        <v>522500</v>
      </c>
      <c r="AE16" s="194"/>
      <c r="AF16" s="226">
        <f>AD16/AA11</f>
        <v>0.27500000000000002</v>
      </c>
    </row>
    <row r="17" spans="1:31" ht="19.5" hidden="1" customHeight="1" x14ac:dyDescent="0.3">
      <c r="A17" s="209" t="s">
        <v>235</v>
      </c>
      <c r="B17" s="209" t="s">
        <v>236</v>
      </c>
      <c r="C17" s="227">
        <v>0</v>
      </c>
      <c r="D17" s="227"/>
      <c r="E17" s="228">
        <v>17.5</v>
      </c>
      <c r="F17" s="228"/>
      <c r="G17" s="228">
        <v>18.5</v>
      </c>
      <c r="H17" s="228"/>
      <c r="I17" s="228">
        <v>19.5</v>
      </c>
      <c r="J17" s="228"/>
      <c r="K17" s="228">
        <v>20.5</v>
      </c>
      <c r="L17" s="228"/>
      <c r="M17" s="228">
        <v>21.5</v>
      </c>
      <c r="N17" s="228"/>
      <c r="O17" s="228">
        <v>22.5</v>
      </c>
      <c r="P17" s="228"/>
      <c r="Q17" s="228"/>
      <c r="R17" s="228"/>
      <c r="S17" s="211"/>
      <c r="T17" s="211"/>
      <c r="U17" s="211"/>
      <c r="V17" s="211"/>
      <c r="W17" s="213"/>
      <c r="X17" s="213"/>
      <c r="Y17" s="213"/>
      <c r="Z17" s="213"/>
      <c r="AA17" s="229">
        <f>MEDIAN(E17:Q17)</f>
        <v>20</v>
      </c>
      <c r="AB17" s="192"/>
      <c r="AC17" s="230"/>
      <c r="AD17" s="192" t="s">
        <v>237</v>
      </c>
      <c r="AE17" s="192"/>
    </row>
    <row r="18" spans="1:31" ht="19.5" hidden="1" customHeight="1" x14ac:dyDescent="0.3">
      <c r="A18" s="233" t="s">
        <v>238</v>
      </c>
      <c r="B18" s="209" t="s">
        <v>236</v>
      </c>
      <c r="C18" s="227">
        <v>0</v>
      </c>
      <c r="D18" s="227"/>
      <c r="E18" s="228">
        <f t="shared" ref="E18" si="23">(E22-(E11*E12*E17))/(E13*E11)</f>
        <v>-45.412949119845671</v>
      </c>
      <c r="F18" s="228"/>
      <c r="G18" s="228">
        <f t="shared" ref="G18" si="24">(G22-(G11*G12*G17))/(G13*G11)</f>
        <v>-48.067259900593235</v>
      </c>
      <c r="H18" s="228"/>
      <c r="I18" s="228">
        <f t="shared" ref="I18" si="25">(I22-(I11*I12*I17))/(I13*I11)</f>
        <v>-50.658730158730158</v>
      </c>
      <c r="J18" s="228"/>
      <c r="K18" s="228">
        <f t="shared" ref="K18" si="26">(K22-(K11*K12*K17))/(K13*K11)</f>
        <v>-53.24625374625375</v>
      </c>
      <c r="L18" s="228"/>
      <c r="M18" s="228">
        <f t="shared" ref="M18" si="27">(M22-(M11*M12*M17))/(M13*M11)</f>
        <v>-55.855371900826448</v>
      </c>
      <c r="N18" s="228"/>
      <c r="O18" s="228">
        <f t="shared" ref="O18" si="28">(O22-(O11*O12*O17))/(O13*O11)</f>
        <v>-58.50561253214002</v>
      </c>
      <c r="P18" s="228"/>
      <c r="Q18" s="228"/>
      <c r="R18" s="228"/>
      <c r="S18" s="211"/>
      <c r="T18" s="211"/>
      <c r="U18" s="211"/>
      <c r="V18" s="211"/>
      <c r="W18" s="213"/>
      <c r="X18" s="213"/>
      <c r="Y18" s="213"/>
      <c r="Z18" s="213"/>
      <c r="AA18" s="229">
        <f>MEDIAN(E18:Q18)</f>
        <v>-51.952491952491954</v>
      </c>
      <c r="AB18" s="192"/>
      <c r="AC18" s="230"/>
      <c r="AD18" s="207">
        <f>SUM(E19:Y19)</f>
        <v>-2633701625</v>
      </c>
      <c r="AE18" s="194">
        <f>AD18/AD16</f>
        <v>-5040.5772727272724</v>
      </c>
    </row>
    <row r="19" spans="1:31" ht="19.5" hidden="1" customHeight="1" x14ac:dyDescent="0.3">
      <c r="C19" s="234">
        <f t="shared" ref="C19" si="29">C11*C13*C18</f>
        <v>0</v>
      </c>
      <c r="D19" s="234"/>
      <c r="E19" s="234">
        <f t="shared" ref="E19" si="30">E11*E13*E18</f>
        <v>-376655000</v>
      </c>
      <c r="F19" s="234"/>
      <c r="G19" s="234">
        <f t="shared" ref="G19" si="31">G11*G13*G18</f>
        <v>-374744375</v>
      </c>
      <c r="H19" s="234"/>
      <c r="I19" s="234">
        <f t="shared" ref="I19" si="32">I11*I13*I18</f>
        <v>-438831250</v>
      </c>
      <c r="J19" s="234"/>
      <c r="K19" s="234">
        <f t="shared" ref="K19" si="33">K11*K13*K18</f>
        <v>-466370625.00000006</v>
      </c>
      <c r="L19" s="234"/>
      <c r="M19" s="234">
        <f t="shared" ref="M19" si="34">M11*M13*M18</f>
        <v>-473095000</v>
      </c>
      <c r="N19" s="234"/>
      <c r="O19" s="234">
        <f t="shared" ref="O19" si="35">O11*O13*O18</f>
        <v>-504005375</v>
      </c>
      <c r="P19" s="234"/>
      <c r="Q19" s="234"/>
      <c r="R19" s="234"/>
      <c r="S19" s="234"/>
      <c r="T19" s="234"/>
      <c r="AA19" s="235"/>
      <c r="AB19" s="192"/>
      <c r="AC19" s="230"/>
      <c r="AD19" s="192" t="s">
        <v>239</v>
      </c>
      <c r="AE19" s="194"/>
    </row>
    <row r="20" spans="1:31" ht="19.5" customHeight="1" x14ac:dyDescent="0.3"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AA20" s="235"/>
      <c r="AB20" s="192"/>
      <c r="AC20" s="230"/>
      <c r="AD20" s="192"/>
      <c r="AE20" s="194"/>
    </row>
    <row r="21" spans="1:31" s="203" customFormat="1" ht="19.5" customHeight="1" x14ac:dyDescent="0.3">
      <c r="A21" s="236" t="s">
        <v>240</v>
      </c>
      <c r="B21" s="237" t="s">
        <v>241</v>
      </c>
      <c r="C21" s="238">
        <v>110000</v>
      </c>
      <c r="D21" s="238"/>
      <c r="E21" s="238">
        <v>545000</v>
      </c>
      <c r="F21" s="238"/>
      <c r="G21" s="238">
        <v>505000</v>
      </c>
      <c r="H21" s="239"/>
      <c r="I21" s="238">
        <v>575000</v>
      </c>
      <c r="J21" s="238"/>
      <c r="K21" s="238">
        <v>610000</v>
      </c>
      <c r="L21" s="238"/>
      <c r="M21" s="238">
        <v>600000</v>
      </c>
      <c r="N21" s="238"/>
      <c r="O21" s="238">
        <v>605000</v>
      </c>
      <c r="P21" s="238"/>
      <c r="Q21" s="238"/>
      <c r="R21" s="238"/>
      <c r="S21" s="240"/>
      <c r="T21" s="240"/>
      <c r="U21" s="220"/>
      <c r="V21" s="220"/>
      <c r="W21" s="220"/>
      <c r="X21" s="220"/>
      <c r="Y21" s="220"/>
      <c r="Z21" s="220"/>
      <c r="AA21" s="214">
        <f>E21+G21+I21+K21+M21+O21+C21</f>
        <v>3550000</v>
      </c>
      <c r="AB21" s="214">
        <f>F21+D21+J21+L21+N21+P21+H21</f>
        <v>0</v>
      </c>
      <c r="AC21" s="215">
        <f>C21+E21+G21+I21+K21+M21+O21</f>
        <v>3550000</v>
      </c>
      <c r="AD21" s="241">
        <f>SUM(E23:Y23)</f>
        <v>0</v>
      </c>
      <c r="AE21" s="242">
        <f>AD21/AD12</f>
        <v>0</v>
      </c>
    </row>
    <row r="22" spans="1:31" s="203" customFormat="1" ht="19.5" customHeight="1" x14ac:dyDescent="0.3">
      <c r="A22" s="236" t="s">
        <v>242</v>
      </c>
      <c r="B22" s="236" t="s">
        <v>243</v>
      </c>
      <c r="C22" s="238">
        <v>1000000</v>
      </c>
      <c r="D22" s="238"/>
      <c r="E22" s="238">
        <v>6000000</v>
      </c>
      <c r="F22" s="238"/>
      <c r="G22" s="238">
        <v>5500000</v>
      </c>
      <c r="H22" s="239"/>
      <c r="I22" s="238">
        <v>6500000</v>
      </c>
      <c r="J22" s="238"/>
      <c r="K22" s="238">
        <v>7000000</v>
      </c>
      <c r="L22" s="238"/>
      <c r="M22" s="238">
        <v>7000000</v>
      </c>
      <c r="N22" s="238"/>
      <c r="O22" s="238">
        <v>7000000</v>
      </c>
      <c r="P22" s="238"/>
      <c r="Q22" s="238"/>
      <c r="R22" s="238"/>
      <c r="S22" s="240"/>
      <c r="T22" s="240"/>
      <c r="U22" s="220"/>
      <c r="V22" s="220"/>
      <c r="W22" s="220"/>
      <c r="X22" s="220"/>
      <c r="Y22" s="220"/>
      <c r="Z22" s="220"/>
      <c r="AA22" s="214">
        <f>E22+G22+I22+K22+M22+O22+C22</f>
        <v>40000000</v>
      </c>
      <c r="AB22" s="214">
        <f>F22+H22+J22+L22+N22+P22+D22</f>
        <v>0</v>
      </c>
      <c r="AC22" s="215">
        <f>C22+E22+G22+I22+K22+M22+O22</f>
        <v>40000000</v>
      </c>
      <c r="AD22" s="202" t="s">
        <v>244</v>
      </c>
      <c r="AE22" s="202"/>
    </row>
    <row r="23" spans="1:31" ht="19.5" customHeight="1" x14ac:dyDescent="0.3"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Y23" s="192" t="s">
        <v>48</v>
      </c>
      <c r="AA23" s="235"/>
      <c r="AB23" s="192"/>
      <c r="AC23" s="230"/>
      <c r="AD23" s="244">
        <f>AD18+AD21</f>
        <v>-2633701625</v>
      </c>
      <c r="AE23" s="192"/>
    </row>
    <row r="24" spans="1:31" ht="19.5" customHeight="1" x14ac:dyDescent="0.3">
      <c r="A24" s="245" t="s">
        <v>245</v>
      </c>
      <c r="B24" s="245"/>
      <c r="C24" s="246"/>
      <c r="D24" s="246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AA24" s="207"/>
      <c r="AB24" s="192"/>
      <c r="AC24" s="230"/>
      <c r="AD24" s="192"/>
      <c r="AE24" s="192"/>
    </row>
    <row r="25" spans="1:31" s="253" customFormat="1" ht="19.5" customHeight="1" x14ac:dyDescent="0.3">
      <c r="A25" s="247" t="s">
        <v>246</v>
      </c>
      <c r="B25" s="248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50"/>
      <c r="AB25" s="251"/>
      <c r="AC25" s="252"/>
      <c r="AD25" s="251"/>
      <c r="AE25" s="251"/>
    </row>
    <row r="26" spans="1:31" ht="19.5" customHeight="1" x14ac:dyDescent="0.3">
      <c r="A26" s="209" t="s">
        <v>247</v>
      </c>
      <c r="B26" s="209" t="s">
        <v>248</v>
      </c>
      <c r="C26" s="254">
        <v>0</v>
      </c>
      <c r="D26" s="254"/>
      <c r="E26" s="254">
        <f t="shared" ref="E26:O26" si="36">E29*0.6/E31</f>
        <v>0.37798128440366968</v>
      </c>
      <c r="F26" s="254"/>
      <c r="G26" s="254">
        <f t="shared" si="36"/>
        <v>0.41584158415841582</v>
      </c>
      <c r="H26" s="254"/>
      <c r="I26" s="254">
        <f>I29*0.6/I31</f>
        <v>0.34086991304347825</v>
      </c>
      <c r="J26" s="254"/>
      <c r="K26" s="254">
        <f>K29*0.6/K31</f>
        <v>0.36065606557377045</v>
      </c>
      <c r="L26" s="254"/>
      <c r="M26" s="254">
        <f t="shared" si="36"/>
        <v>0.35833299999999996</v>
      </c>
      <c r="N26" s="254"/>
      <c r="O26" s="254">
        <f t="shared" si="36"/>
        <v>0.30413256198347105</v>
      </c>
      <c r="P26" s="254"/>
      <c r="Q26" s="254"/>
      <c r="R26" s="254"/>
      <c r="S26" s="254"/>
      <c r="T26" s="254"/>
      <c r="U26" s="255"/>
      <c r="V26" s="255"/>
      <c r="W26" s="255"/>
      <c r="X26" s="255"/>
      <c r="Y26" s="255"/>
      <c r="Z26" s="255"/>
      <c r="AA26" s="256">
        <f>(AA30+AA29)*0.6/AA31</f>
        <v>0.50873239436619722</v>
      </c>
      <c r="AB26" s="256" t="e">
        <f>(AB30+AB29)*0.6/AB31</f>
        <v>#DIV/0!</v>
      </c>
      <c r="AC26" s="257">
        <f>(AC30+AC29)*0.6/AC31</f>
        <v>0.50873239436619722</v>
      </c>
      <c r="AD26" s="192"/>
      <c r="AE26" s="192"/>
    </row>
    <row r="27" spans="1:31" ht="19.5" customHeight="1" x14ac:dyDescent="0.3">
      <c r="A27" s="233" t="s">
        <v>249</v>
      </c>
      <c r="B27" s="233" t="s">
        <v>250</v>
      </c>
      <c r="C27" s="210">
        <f>C21*50-C28*50-C29*30-C30*30</f>
        <v>-249990</v>
      </c>
      <c r="D27" s="210"/>
      <c r="E27" s="210">
        <f>E21*50-E28*50-E29*30-E30*30</f>
        <v>9750010</v>
      </c>
      <c r="F27" s="210"/>
      <c r="G27" s="210">
        <f>G21*50-G28*50-G29*30-G30*30</f>
        <v>8750000</v>
      </c>
      <c r="H27" s="258"/>
      <c r="I27" s="210">
        <f>I21*50-I28*50-I29*30-I30*30</f>
        <v>11749990</v>
      </c>
      <c r="J27" s="210"/>
      <c r="K27" s="210">
        <f>K21*50-K28*50-K29*30-K30*30</f>
        <v>11499990</v>
      </c>
      <c r="L27" s="210"/>
      <c r="M27" s="210">
        <f>M21*50-M28*50-M29*30-M30*30</f>
        <v>11250010</v>
      </c>
      <c r="N27" s="210"/>
      <c r="O27" s="210">
        <f>O21*50-O28*50-O29*30-O30*30</f>
        <v>11249990</v>
      </c>
      <c r="P27" s="210"/>
      <c r="Q27" s="210">
        <f>(Q21-(Q28)-(Q29*0.6)-(Q30*0.6))*50</f>
        <v>-6000000</v>
      </c>
      <c r="R27" s="210"/>
      <c r="S27" s="210">
        <f>(S21-(S28)-(S29*0.6)-(S30*0.6))*50</f>
        <v>-6000000</v>
      </c>
      <c r="T27" s="210"/>
      <c r="U27" s="210">
        <f>(U21-(U28)-(U29*0.6)-(U30*0.6))*50</f>
        <v>-6000000</v>
      </c>
      <c r="V27" s="210"/>
      <c r="W27" s="210">
        <f t="shared" ref="W27" si="37">(W21-(W28)-(W29*0.6)-(W30*0.6))*50</f>
        <v>-3300000</v>
      </c>
      <c r="X27" s="210"/>
      <c r="Y27" s="210"/>
      <c r="Z27" s="210"/>
      <c r="AA27" s="214">
        <f>C27+E27+G27+I27+K27+M27+O27+Q27+S27+U27+W27+Y27</f>
        <v>42700000</v>
      </c>
      <c r="AB27" s="214">
        <f t="shared" ref="AB27:AB35" si="38">F27+H27+J27+L27+N27+P27+D27</f>
        <v>0</v>
      </c>
      <c r="AC27" s="215">
        <f>AA27</f>
        <v>42700000</v>
      </c>
      <c r="AD27" s="207"/>
      <c r="AE27" s="192"/>
    </row>
    <row r="28" spans="1:31" ht="19.5" customHeight="1" x14ac:dyDescent="0.3">
      <c r="A28" s="209" t="s">
        <v>251</v>
      </c>
      <c r="B28" s="209" t="s">
        <v>241</v>
      </c>
      <c r="C28" s="210">
        <v>50000</v>
      </c>
      <c r="D28" s="210"/>
      <c r="E28" s="210">
        <v>120000</v>
      </c>
      <c r="F28" s="210"/>
      <c r="G28" s="210">
        <v>120000</v>
      </c>
      <c r="H28" s="210"/>
      <c r="I28" s="210">
        <v>120000</v>
      </c>
      <c r="J28" s="210"/>
      <c r="K28" s="210">
        <v>160000</v>
      </c>
      <c r="L28" s="210"/>
      <c r="M28" s="210">
        <v>160000</v>
      </c>
      <c r="N28" s="210"/>
      <c r="O28" s="210">
        <v>160000</v>
      </c>
      <c r="P28" s="210"/>
      <c r="Q28" s="210"/>
      <c r="R28" s="210"/>
      <c r="S28" s="210">
        <v>0</v>
      </c>
      <c r="T28" s="210"/>
      <c r="U28" s="210">
        <v>0</v>
      </c>
      <c r="V28" s="210"/>
      <c r="W28" s="210"/>
      <c r="X28" s="210"/>
      <c r="Y28" s="210"/>
      <c r="Z28" s="210"/>
      <c r="AA28" s="214">
        <f>C28+E28+G28+I28+K28+M28+O28+Q28</f>
        <v>890000</v>
      </c>
      <c r="AB28" s="214">
        <f t="shared" si="38"/>
        <v>0</v>
      </c>
      <c r="AC28" s="215">
        <f>C28+E28+G28+I28+K28+M28+O28</f>
        <v>890000</v>
      </c>
      <c r="AD28" s="192"/>
      <c r="AE28" s="192"/>
    </row>
    <row r="29" spans="1:31" ht="19.5" customHeight="1" x14ac:dyDescent="0.3">
      <c r="A29" s="209" t="s">
        <v>252</v>
      </c>
      <c r="B29" s="209" t="s">
        <v>253</v>
      </c>
      <c r="C29" s="210">
        <f>108333-C30</f>
        <v>68333</v>
      </c>
      <c r="D29" s="210"/>
      <c r="E29" s="210">
        <f>383333-E30</f>
        <v>343333</v>
      </c>
      <c r="F29" s="210"/>
      <c r="G29" s="210">
        <f>350000-G30</f>
        <v>350000</v>
      </c>
      <c r="H29" s="210"/>
      <c r="I29" s="210">
        <f>366667-I30</f>
        <v>326667</v>
      </c>
      <c r="J29" s="210"/>
      <c r="K29" s="210">
        <f>366667-K30</f>
        <v>366667</v>
      </c>
      <c r="L29" s="210"/>
      <c r="M29" s="210">
        <f>358333-M30</f>
        <v>358333</v>
      </c>
      <c r="N29" s="210"/>
      <c r="O29" s="210">
        <f>366667-O30-P30</f>
        <v>306667</v>
      </c>
      <c r="P29" s="210"/>
      <c r="Q29" s="210">
        <v>200000</v>
      </c>
      <c r="R29" s="210"/>
      <c r="S29" s="210">
        <v>200000</v>
      </c>
      <c r="T29" s="210"/>
      <c r="U29" s="210">
        <v>200000</v>
      </c>
      <c r="V29" s="210"/>
      <c r="W29" s="210">
        <v>110000</v>
      </c>
      <c r="X29" s="210"/>
      <c r="Y29" s="210"/>
      <c r="Z29" s="210"/>
      <c r="AA29" s="214">
        <f>C29+E29+G29+I29+K29+M29+O29+Q29+S29+U29+W29+Y29</f>
        <v>2830000</v>
      </c>
      <c r="AB29" s="214">
        <f t="shared" si="38"/>
        <v>0</v>
      </c>
      <c r="AC29" s="215">
        <f>AA29</f>
        <v>2830000</v>
      </c>
      <c r="AD29" s="192"/>
      <c r="AE29" s="192"/>
    </row>
    <row r="30" spans="1:31" ht="19.5" customHeight="1" x14ac:dyDescent="0.3">
      <c r="A30" s="233" t="s">
        <v>254</v>
      </c>
      <c r="B30" s="209" t="s">
        <v>253</v>
      </c>
      <c r="C30" s="210">
        <v>40000</v>
      </c>
      <c r="D30" s="210"/>
      <c r="E30" s="210">
        <v>40000</v>
      </c>
      <c r="F30" s="210"/>
      <c r="G30" s="210">
        <v>0</v>
      </c>
      <c r="H30" s="210"/>
      <c r="I30" s="210">
        <v>40000</v>
      </c>
      <c r="J30" s="210"/>
      <c r="K30" s="210">
        <v>0</v>
      </c>
      <c r="L30" s="210"/>
      <c r="M30" s="210">
        <v>0</v>
      </c>
      <c r="N30" s="210"/>
      <c r="O30" s="210">
        <v>60000</v>
      </c>
      <c r="P30" s="210">
        <v>0</v>
      </c>
      <c r="Q30" s="210"/>
      <c r="R30" s="210"/>
      <c r="S30" s="210"/>
      <c r="T30" s="210"/>
      <c r="U30" s="210"/>
      <c r="V30" s="210"/>
      <c r="W30" s="210">
        <v>0</v>
      </c>
      <c r="X30" s="210"/>
      <c r="Y30" s="210"/>
      <c r="Z30" s="210"/>
      <c r="AA30" s="214">
        <f t="shared" ref="AA30:AA35" si="39">C30+E30+G30+I30+K30+M30+O30+Q30</f>
        <v>180000</v>
      </c>
      <c r="AB30" s="214">
        <f t="shared" si="38"/>
        <v>0</v>
      </c>
      <c r="AC30" s="215">
        <f>C30+E30+G30+I30+K30+M30+O30+P30</f>
        <v>180000</v>
      </c>
      <c r="AD30" s="192">
        <v>133837</v>
      </c>
      <c r="AE30" s="192"/>
    </row>
    <row r="31" spans="1:31" ht="19.5" customHeight="1" x14ac:dyDescent="0.3">
      <c r="A31" s="73" t="s">
        <v>255</v>
      </c>
      <c r="B31" s="73" t="s">
        <v>241</v>
      </c>
      <c r="C31" s="259">
        <f>C30*0.6+C29*0.6+C28+C27/50</f>
        <v>109999.99999999999</v>
      </c>
      <c r="D31" s="259"/>
      <c r="E31" s="259">
        <f>E30*0.6+E29*0.6+E28+E27/50</f>
        <v>545000</v>
      </c>
      <c r="F31" s="259"/>
      <c r="G31" s="259">
        <f t="shared" ref="G31:Y31" si="40">G30*0.6+G29*0.6+G28+G27/50</f>
        <v>505000</v>
      </c>
      <c r="H31" s="259"/>
      <c r="I31" s="259">
        <f t="shared" si="40"/>
        <v>575000</v>
      </c>
      <c r="J31" s="259"/>
      <c r="K31" s="259">
        <f t="shared" si="40"/>
        <v>610000</v>
      </c>
      <c r="L31" s="259"/>
      <c r="M31" s="259">
        <f t="shared" si="40"/>
        <v>600000</v>
      </c>
      <c r="N31" s="259"/>
      <c r="O31" s="259">
        <f t="shared" si="40"/>
        <v>605000</v>
      </c>
      <c r="P31" s="259"/>
      <c r="Q31" s="259"/>
      <c r="R31" s="259"/>
      <c r="S31" s="259">
        <f>S30*0.6+S29*0.6+S28+S27/50</f>
        <v>0</v>
      </c>
      <c r="T31" s="259"/>
      <c r="U31" s="259">
        <f t="shared" si="40"/>
        <v>0</v>
      </c>
      <c r="V31" s="259"/>
      <c r="W31" s="259">
        <f t="shared" si="40"/>
        <v>0</v>
      </c>
      <c r="X31" s="259"/>
      <c r="Y31" s="259">
        <f t="shared" si="40"/>
        <v>0</v>
      </c>
      <c r="Z31" s="259"/>
      <c r="AA31" s="214">
        <f>C31+E31+G31+I31+K31+M31+O31+Q31</f>
        <v>3550000</v>
      </c>
      <c r="AB31" s="214">
        <f t="shared" si="38"/>
        <v>0</v>
      </c>
      <c r="AC31" s="215">
        <f>(AC27/50)+AC28+((AC29+AC30)*0.6)</f>
        <v>3550000</v>
      </c>
      <c r="AD31" s="207"/>
      <c r="AE31" s="207"/>
    </row>
    <row r="32" spans="1:31" ht="19.5" customHeight="1" x14ac:dyDescent="0.3">
      <c r="A32" s="209" t="s">
        <v>256</v>
      </c>
      <c r="B32" s="209" t="s">
        <v>257</v>
      </c>
      <c r="C32" s="210">
        <f>C22-C33</f>
        <v>1000000</v>
      </c>
      <c r="D32" s="210"/>
      <c r="E32" s="210">
        <f t="shared" ref="E32:O32" si="41">E22-E33</f>
        <v>5900000</v>
      </c>
      <c r="F32" s="210"/>
      <c r="G32" s="210">
        <f t="shared" si="41"/>
        <v>5400000</v>
      </c>
      <c r="H32" s="210">
        <f t="shared" si="41"/>
        <v>0</v>
      </c>
      <c r="I32" s="210">
        <f t="shared" si="41"/>
        <v>6400000</v>
      </c>
      <c r="J32" s="210">
        <f t="shared" si="41"/>
        <v>0</v>
      </c>
      <c r="K32" s="210">
        <f t="shared" si="41"/>
        <v>6900000</v>
      </c>
      <c r="L32" s="210">
        <f t="shared" si="41"/>
        <v>0</v>
      </c>
      <c r="M32" s="210">
        <f t="shared" si="41"/>
        <v>7000000</v>
      </c>
      <c r="N32" s="210">
        <f t="shared" si="41"/>
        <v>0</v>
      </c>
      <c r="O32" s="210">
        <f t="shared" si="41"/>
        <v>6900000</v>
      </c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4">
        <f t="shared" si="39"/>
        <v>39500000</v>
      </c>
      <c r="AB32" s="214">
        <f t="shared" si="38"/>
        <v>0</v>
      </c>
      <c r="AC32" s="215">
        <f>C32+E32+G32+I32+K32+M32+O32+P32</f>
        <v>39500000</v>
      </c>
      <c r="AD32" s="207">
        <f>AA47/50</f>
        <v>300000</v>
      </c>
      <c r="AE32" s="192"/>
    </row>
    <row r="33" spans="1:32" ht="19.5" customHeight="1" x14ac:dyDescent="0.3">
      <c r="A33" s="209" t="s">
        <v>258</v>
      </c>
      <c r="B33" s="209" t="s">
        <v>257</v>
      </c>
      <c r="C33" s="210">
        <v>0</v>
      </c>
      <c r="D33" s="210"/>
      <c r="E33" s="210">
        <v>100000</v>
      </c>
      <c r="F33" s="210"/>
      <c r="G33" s="210">
        <v>100000</v>
      </c>
      <c r="H33" s="210"/>
      <c r="I33" s="210">
        <v>100000</v>
      </c>
      <c r="J33" s="210"/>
      <c r="K33" s="210">
        <v>100000</v>
      </c>
      <c r="L33" s="210"/>
      <c r="M33" s="210"/>
      <c r="N33" s="210"/>
      <c r="O33" s="210">
        <v>100000</v>
      </c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4">
        <f t="shared" si="39"/>
        <v>500000</v>
      </c>
      <c r="AB33" s="214">
        <f t="shared" si="38"/>
        <v>0</v>
      </c>
      <c r="AC33" s="215">
        <f>C33+E33+G33+I33+K33+M33+O33+P33</f>
        <v>500000</v>
      </c>
      <c r="AD33" s="192"/>
      <c r="AE33" s="207"/>
    </row>
    <row r="34" spans="1:32" ht="19.5" customHeight="1" x14ac:dyDescent="0.3">
      <c r="A34" s="73" t="s">
        <v>259</v>
      </c>
      <c r="B34" s="73" t="s">
        <v>257</v>
      </c>
      <c r="C34" s="259">
        <f>C32+C33</f>
        <v>1000000</v>
      </c>
      <c r="D34" s="259"/>
      <c r="E34" s="259">
        <f>E32+E33</f>
        <v>6000000</v>
      </c>
      <c r="F34" s="259"/>
      <c r="G34" s="259">
        <f t="shared" ref="G34" si="42">G32+G33</f>
        <v>5500000</v>
      </c>
      <c r="H34" s="259"/>
      <c r="I34" s="259">
        <f t="shared" ref="I34:S34" si="43">I32+I33</f>
        <v>6500000</v>
      </c>
      <c r="J34" s="259"/>
      <c r="K34" s="259">
        <f t="shared" si="43"/>
        <v>7000000</v>
      </c>
      <c r="L34" s="259"/>
      <c r="M34" s="259">
        <f t="shared" si="43"/>
        <v>7000000</v>
      </c>
      <c r="N34" s="259"/>
      <c r="O34" s="259">
        <f t="shared" si="43"/>
        <v>7000000</v>
      </c>
      <c r="P34" s="259"/>
      <c r="Q34" s="259"/>
      <c r="R34" s="259"/>
      <c r="S34" s="259">
        <f t="shared" si="43"/>
        <v>0</v>
      </c>
      <c r="T34" s="259"/>
      <c r="U34" s="211"/>
      <c r="V34" s="211"/>
      <c r="W34" s="211"/>
      <c r="X34" s="211"/>
      <c r="Y34" s="211"/>
      <c r="Z34" s="211"/>
      <c r="AA34" s="214">
        <f t="shared" si="39"/>
        <v>40000000</v>
      </c>
      <c r="AB34" s="214">
        <f t="shared" si="38"/>
        <v>0</v>
      </c>
      <c r="AC34" s="215">
        <f>AC32+AC33</f>
        <v>40000000</v>
      </c>
      <c r="AD34" s="192"/>
      <c r="AE34" s="192"/>
    </row>
    <row r="35" spans="1:32" ht="19.5" customHeight="1" x14ac:dyDescent="0.3">
      <c r="A35" s="233" t="s">
        <v>260</v>
      </c>
      <c r="B35" s="209" t="s">
        <v>261</v>
      </c>
      <c r="C35" s="260">
        <v>1080</v>
      </c>
      <c r="D35" s="260"/>
      <c r="E35" s="260">
        <v>1860</v>
      </c>
      <c r="F35" s="260"/>
      <c r="G35" s="260">
        <v>1800</v>
      </c>
      <c r="H35" s="260"/>
      <c r="I35" s="260">
        <v>1860</v>
      </c>
      <c r="J35" s="260"/>
      <c r="K35" s="260">
        <v>1860</v>
      </c>
      <c r="L35" s="260"/>
      <c r="M35" s="260">
        <v>1800</v>
      </c>
      <c r="N35" s="260"/>
      <c r="O35" s="260">
        <v>1860</v>
      </c>
      <c r="P35" s="260"/>
      <c r="Q35" s="260">
        <v>880</v>
      </c>
      <c r="R35" s="260"/>
      <c r="S35" s="260"/>
      <c r="T35" s="260"/>
      <c r="U35" s="260"/>
      <c r="V35" s="260"/>
      <c r="W35" s="260"/>
      <c r="X35" s="260"/>
      <c r="Y35" s="260"/>
      <c r="Z35" s="260"/>
      <c r="AA35" s="214">
        <f t="shared" si="39"/>
        <v>13000</v>
      </c>
      <c r="AB35" s="214">
        <f t="shared" si="38"/>
        <v>0</v>
      </c>
      <c r="AC35" s="215">
        <f>C35+E35+G35+I35+K35+M35+O35+P35+Q35</f>
        <v>13000</v>
      </c>
      <c r="AD35" s="192"/>
      <c r="AE35" s="192"/>
    </row>
    <row r="36" spans="1:32" ht="19.5" customHeight="1" x14ac:dyDescent="0.3">
      <c r="E36" s="194"/>
      <c r="F36" s="194"/>
      <c r="I36" s="261"/>
      <c r="J36" s="261"/>
      <c r="K36" s="207"/>
      <c r="L36" s="207"/>
      <c r="AA36" s="192"/>
      <c r="AB36" s="192"/>
      <c r="AC36" s="192"/>
      <c r="AD36" s="192"/>
      <c r="AE36" s="262"/>
    </row>
    <row r="37" spans="1:32" ht="19.5" customHeight="1" x14ac:dyDescent="0.3">
      <c r="A37" s="263" t="s">
        <v>262</v>
      </c>
      <c r="C37" s="244">
        <f>C31-C49</f>
        <v>-59500.000000000015</v>
      </c>
      <c r="D37" s="244"/>
      <c r="E37" s="244">
        <f>E31-E49</f>
        <v>252500</v>
      </c>
      <c r="F37" s="244"/>
      <c r="G37" s="244">
        <f>G31-G49</f>
        <v>199900</v>
      </c>
      <c r="H37" s="244"/>
      <c r="I37" s="244">
        <f t="shared" ref="I37:O37" si="44">I31-I49</f>
        <v>282500</v>
      </c>
      <c r="J37" s="244"/>
      <c r="K37" s="244">
        <f>K31-K49</f>
        <v>365100</v>
      </c>
      <c r="L37" s="244"/>
      <c r="M37" s="244">
        <f t="shared" si="44"/>
        <v>385300</v>
      </c>
      <c r="N37" s="244"/>
      <c r="O37" s="244">
        <f t="shared" si="44"/>
        <v>242700</v>
      </c>
      <c r="P37" s="244"/>
      <c r="Q37" s="244"/>
      <c r="R37" s="244"/>
      <c r="S37" s="244"/>
      <c r="T37" s="244"/>
      <c r="U37" s="244"/>
      <c r="V37" s="244"/>
      <c r="W37" s="244"/>
      <c r="X37" s="244"/>
      <c r="AA37" s="207"/>
      <c r="AB37" s="207"/>
      <c r="AC37" s="207"/>
      <c r="AD37" s="207">
        <f>SUM(E29:Q29)-SUM(E43:Q43)</f>
        <v>621667</v>
      </c>
      <c r="AE37" s="192"/>
    </row>
    <row r="38" spans="1:32" ht="19.5" customHeight="1" x14ac:dyDescent="0.3">
      <c r="A38" s="263"/>
      <c r="G38" s="244">
        <f>E37+G37</f>
        <v>452400</v>
      </c>
      <c r="H38" s="244"/>
      <c r="I38" s="244">
        <f>G38+I37</f>
        <v>734900</v>
      </c>
      <c r="J38" s="244"/>
      <c r="K38" s="244">
        <f>I38+K37</f>
        <v>1100000</v>
      </c>
      <c r="L38" s="244"/>
      <c r="M38" s="244">
        <f>K38+M37</f>
        <v>1485300</v>
      </c>
      <c r="N38" s="244"/>
      <c r="O38" s="244">
        <f>M38+O37</f>
        <v>1728000</v>
      </c>
      <c r="P38" s="244"/>
      <c r="Q38" s="244"/>
      <c r="R38" s="244"/>
      <c r="AA38" s="207" t="s">
        <v>217</v>
      </c>
      <c r="AB38" s="192" t="s">
        <v>218</v>
      </c>
      <c r="AC38" s="192" t="s">
        <v>263</v>
      </c>
      <c r="AD38" s="192"/>
      <c r="AE38" s="192"/>
    </row>
    <row r="39" spans="1:32" ht="19.5" customHeight="1" x14ac:dyDescent="0.3">
      <c r="A39" s="209" t="s">
        <v>264</v>
      </c>
      <c r="B39" s="264" t="s">
        <v>265</v>
      </c>
      <c r="C39" s="254">
        <v>0</v>
      </c>
      <c r="D39" s="254"/>
      <c r="E39" s="254">
        <f>(E43*0.6)/E49</f>
        <v>0.51282051282051277</v>
      </c>
      <c r="F39" s="254"/>
      <c r="G39" s="254">
        <f>(G43*0.6)/G49</f>
        <v>0.53097345132743368</v>
      </c>
      <c r="H39" s="254"/>
      <c r="I39" s="254">
        <f t="shared" ref="I39:Y39" si="45">(I43*0.6)/I49</f>
        <v>0.51282051282051277</v>
      </c>
      <c r="J39" s="254"/>
      <c r="K39" s="254">
        <f t="shared" si="45"/>
        <v>0.5634953042057983</v>
      </c>
      <c r="L39" s="254"/>
      <c r="M39" s="254">
        <f t="shared" si="45"/>
        <v>0.53097345132743368</v>
      </c>
      <c r="N39" s="254"/>
      <c r="O39" s="254">
        <f t="shared" si="45"/>
        <v>0.34777808446039193</v>
      </c>
      <c r="P39" s="254"/>
      <c r="Q39" s="254"/>
      <c r="R39" s="254"/>
      <c r="S39" s="254">
        <f t="shared" si="45"/>
        <v>0.49303322615219719</v>
      </c>
      <c r="T39" s="254"/>
      <c r="U39" s="254">
        <f t="shared" si="45"/>
        <v>0.54298642533936647</v>
      </c>
      <c r="V39" s="254"/>
      <c r="W39" s="254">
        <f t="shared" si="45"/>
        <v>0.54298642533936647</v>
      </c>
      <c r="X39" s="254"/>
      <c r="Y39" s="254">
        <f t="shared" si="45"/>
        <v>0.26905829596412556</v>
      </c>
      <c r="Z39" s="254"/>
      <c r="AA39" s="265">
        <f>AA43*0.6/AA49</f>
        <v>0.47036914666746765</v>
      </c>
      <c r="AB39" s="265" t="e">
        <f>AB43*0.6/AB49</f>
        <v>#DIV/0!</v>
      </c>
      <c r="AC39" s="265">
        <f>AC43*0.6/AC49</f>
        <v>0.59809696420480285</v>
      </c>
      <c r="AD39" s="192"/>
      <c r="AE39" s="192"/>
    </row>
    <row r="40" spans="1:32" ht="19.5" customHeight="1" x14ac:dyDescent="0.3">
      <c r="B40" s="266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25"/>
      <c r="Z40" s="225"/>
      <c r="AA40" s="268"/>
      <c r="AB40" s="269"/>
      <c r="AC40" s="269"/>
      <c r="AD40" s="192"/>
      <c r="AE40" s="192"/>
    </row>
    <row r="41" spans="1:32" ht="19.5" customHeight="1" x14ac:dyDescent="0.3">
      <c r="A41" s="233" t="s">
        <v>266</v>
      </c>
      <c r="B41" s="209" t="s">
        <v>241</v>
      </c>
      <c r="C41" s="210">
        <v>50000</v>
      </c>
      <c r="D41" s="210"/>
      <c r="E41" s="210">
        <f>60000+50000</f>
        <v>110000</v>
      </c>
      <c r="F41" s="210"/>
      <c r="G41" s="210">
        <f>50000+60000</f>
        <v>110000</v>
      </c>
      <c r="H41" s="210"/>
      <c r="I41" s="210">
        <f>50000+60000</f>
        <v>110000</v>
      </c>
      <c r="J41" s="210"/>
      <c r="K41" s="210">
        <f>20000+55000</f>
        <v>75000</v>
      </c>
      <c r="L41" s="210"/>
      <c r="M41" s="210">
        <f>20000+50000</f>
        <v>70000</v>
      </c>
      <c r="N41" s="210"/>
      <c r="O41" s="210">
        <f>50000+55000+100000</f>
        <v>205000</v>
      </c>
      <c r="P41" s="210"/>
      <c r="Q41" s="210">
        <f>50000+60000</f>
        <v>110000</v>
      </c>
      <c r="R41" s="210"/>
      <c r="S41" s="210">
        <f>50000+60000</f>
        <v>110000</v>
      </c>
      <c r="T41" s="210"/>
      <c r="U41" s="210">
        <v>70000</v>
      </c>
      <c r="V41" s="210"/>
      <c r="W41" s="210">
        <v>70000</v>
      </c>
      <c r="X41" s="210"/>
      <c r="Y41" s="210">
        <f>70000+225000</f>
        <v>295000</v>
      </c>
      <c r="Z41" s="210"/>
      <c r="AA41" s="214">
        <f>C41+E41+G41+I41+K41+M41+O41+Q41+S41+U41+W41+Y41</f>
        <v>1385000</v>
      </c>
      <c r="AB41" s="270">
        <f>D41+F41+H41+L41+N41+P41+R41+T41+V41+X41+Z41</f>
        <v>0</v>
      </c>
      <c r="AC41" s="270">
        <f>AC28-AA41</f>
        <v>-495000</v>
      </c>
      <c r="AD41" s="207">
        <f>AC41*50</f>
        <v>-24750000</v>
      </c>
      <c r="AE41" s="192"/>
    </row>
    <row r="42" spans="1:32" ht="19.5" customHeight="1" x14ac:dyDescent="0.3">
      <c r="A42" s="271" t="s">
        <v>267</v>
      </c>
      <c r="B42" s="271" t="s">
        <v>241</v>
      </c>
      <c r="C42" s="258">
        <f>C28-C41</f>
        <v>0</v>
      </c>
      <c r="D42" s="258"/>
      <c r="E42" s="258">
        <f>E28-E41</f>
        <v>10000</v>
      </c>
      <c r="F42" s="258"/>
      <c r="G42" s="258">
        <f t="shared" ref="G42" si="46">G28-G41</f>
        <v>10000</v>
      </c>
      <c r="H42" s="258"/>
      <c r="I42" s="258">
        <f t="shared" ref="I42:Y42" si="47">I28-I41</f>
        <v>10000</v>
      </c>
      <c r="J42" s="258"/>
      <c r="K42" s="258">
        <f t="shared" si="47"/>
        <v>85000</v>
      </c>
      <c r="L42" s="258"/>
      <c r="M42" s="258">
        <f>M28-M41</f>
        <v>90000</v>
      </c>
      <c r="N42" s="258"/>
      <c r="O42" s="258">
        <f t="shared" si="47"/>
        <v>-45000</v>
      </c>
      <c r="P42" s="258"/>
      <c r="Q42" s="258">
        <f t="shared" si="47"/>
        <v>-110000</v>
      </c>
      <c r="R42" s="258"/>
      <c r="S42" s="258">
        <f t="shared" si="47"/>
        <v>-110000</v>
      </c>
      <c r="T42" s="258"/>
      <c r="U42" s="258">
        <f t="shared" si="47"/>
        <v>-70000</v>
      </c>
      <c r="V42" s="258"/>
      <c r="W42" s="258">
        <f t="shared" si="47"/>
        <v>-70000</v>
      </c>
      <c r="X42" s="258"/>
      <c r="Y42" s="258">
        <f t="shared" si="47"/>
        <v>-295000</v>
      </c>
      <c r="Z42" s="258"/>
      <c r="AA42" s="214"/>
      <c r="AB42" s="272"/>
      <c r="AC42" s="272"/>
      <c r="AD42" s="192"/>
      <c r="AE42" s="192"/>
    </row>
    <row r="43" spans="1:32" ht="19.5" customHeight="1" x14ac:dyDescent="0.3">
      <c r="A43" s="233" t="s">
        <v>268</v>
      </c>
      <c r="B43" s="209" t="s">
        <v>253</v>
      </c>
      <c r="C43" s="210">
        <v>150000</v>
      </c>
      <c r="D43" s="210"/>
      <c r="E43" s="210">
        <v>250000</v>
      </c>
      <c r="F43" s="210"/>
      <c r="G43" s="210">
        <v>270000</v>
      </c>
      <c r="H43" s="210"/>
      <c r="I43" s="210">
        <v>250000</v>
      </c>
      <c r="J43" s="210"/>
      <c r="K43" s="210">
        <v>230000</v>
      </c>
      <c r="L43" s="210"/>
      <c r="M43" s="210">
        <v>190000</v>
      </c>
      <c r="N43" s="210"/>
      <c r="O43" s="210">
        <v>210000</v>
      </c>
      <c r="P43" s="210"/>
      <c r="Q43" s="210">
        <v>230000</v>
      </c>
      <c r="R43" s="210"/>
      <c r="S43" s="210">
        <v>230000</v>
      </c>
      <c r="T43" s="210"/>
      <c r="U43" s="210">
        <v>200000</v>
      </c>
      <c r="V43" s="210"/>
      <c r="W43" s="210">
        <v>200000</v>
      </c>
      <c r="X43" s="210"/>
      <c r="Y43" s="210">
        <v>200000</v>
      </c>
      <c r="Z43" s="210"/>
      <c r="AA43" s="214">
        <f>C43+E43+G43+I43+K43+M43+O43+Q43+S43+U43+W43+Y43</f>
        <v>2610000</v>
      </c>
      <c r="AB43" s="270">
        <f>D43+F43+H43+L43+N43+P43+R43+T43+V43+X43+Z43</f>
        <v>0</v>
      </c>
      <c r="AC43" s="270">
        <f>AC29-AA43</f>
        <v>220000</v>
      </c>
      <c r="AD43" s="207"/>
      <c r="AE43" s="207"/>
    </row>
    <row r="44" spans="1:32" ht="19.5" customHeight="1" x14ac:dyDescent="0.3">
      <c r="A44" s="271" t="s">
        <v>269</v>
      </c>
      <c r="B44" s="271" t="s">
        <v>253</v>
      </c>
      <c r="C44" s="258">
        <f>C29-C43</f>
        <v>-81667</v>
      </c>
      <c r="D44" s="258"/>
      <c r="E44" s="258">
        <f>E29-E43</f>
        <v>93333</v>
      </c>
      <c r="F44" s="258"/>
      <c r="G44" s="258">
        <f t="shared" ref="G44" si="48">G29-G43</f>
        <v>80000</v>
      </c>
      <c r="H44" s="258"/>
      <c r="I44" s="258">
        <f t="shared" ref="I44:Y44" si="49">I29-I43</f>
        <v>76667</v>
      </c>
      <c r="J44" s="258"/>
      <c r="K44" s="258">
        <f t="shared" si="49"/>
        <v>136667</v>
      </c>
      <c r="L44" s="258"/>
      <c r="M44" s="258">
        <f t="shared" si="49"/>
        <v>168333</v>
      </c>
      <c r="N44" s="258"/>
      <c r="O44" s="258">
        <f t="shared" si="49"/>
        <v>96667</v>
      </c>
      <c r="P44" s="258"/>
      <c r="Q44" s="258">
        <f t="shared" si="49"/>
        <v>-30000</v>
      </c>
      <c r="R44" s="258"/>
      <c r="S44" s="258">
        <f t="shared" si="49"/>
        <v>-30000</v>
      </c>
      <c r="T44" s="258"/>
      <c r="U44" s="258">
        <f t="shared" si="49"/>
        <v>0</v>
      </c>
      <c r="V44" s="258"/>
      <c r="W44" s="258">
        <f t="shared" si="49"/>
        <v>-90000</v>
      </c>
      <c r="X44" s="258"/>
      <c r="Y44" s="258">
        <f t="shared" si="49"/>
        <v>-200000</v>
      </c>
      <c r="Z44" s="258"/>
      <c r="AA44" s="214"/>
      <c r="AB44" s="270"/>
      <c r="AC44" s="270"/>
      <c r="AD44" s="207"/>
      <c r="AE44" s="207"/>
      <c r="AF44" s="206">
        <f>AA43*0.6</f>
        <v>1566000</v>
      </c>
    </row>
    <row r="45" spans="1:32" ht="19.5" customHeight="1" x14ac:dyDescent="0.3">
      <c r="A45" s="233" t="s">
        <v>270</v>
      </c>
      <c r="B45" s="209" t="s">
        <v>253</v>
      </c>
      <c r="C45" s="210">
        <f>C43*0.05</f>
        <v>7500</v>
      </c>
      <c r="D45" s="210"/>
      <c r="E45" s="210">
        <f>E43*0.05</f>
        <v>12500</v>
      </c>
      <c r="F45" s="210"/>
      <c r="G45" s="210">
        <f t="shared" ref="G45" si="50">G43*0.05</f>
        <v>13500</v>
      </c>
      <c r="H45" s="210"/>
      <c r="I45" s="210">
        <f t="shared" ref="I45:Y45" si="51">I43*0.05</f>
        <v>12500</v>
      </c>
      <c r="J45" s="210"/>
      <c r="K45" s="210">
        <f t="shared" si="51"/>
        <v>11500</v>
      </c>
      <c r="L45" s="210"/>
      <c r="M45" s="210">
        <f t="shared" si="51"/>
        <v>9500</v>
      </c>
      <c r="N45" s="210"/>
      <c r="O45" s="210">
        <f t="shared" si="51"/>
        <v>10500</v>
      </c>
      <c r="P45" s="210"/>
      <c r="Q45" s="210">
        <f t="shared" si="51"/>
        <v>11500</v>
      </c>
      <c r="R45" s="210"/>
      <c r="S45" s="210">
        <f t="shared" si="51"/>
        <v>11500</v>
      </c>
      <c r="T45" s="210"/>
      <c r="U45" s="210">
        <f t="shared" si="51"/>
        <v>10000</v>
      </c>
      <c r="V45" s="210"/>
      <c r="W45" s="210">
        <f t="shared" si="51"/>
        <v>10000</v>
      </c>
      <c r="X45" s="210"/>
      <c r="Y45" s="210">
        <f t="shared" si="51"/>
        <v>10000</v>
      </c>
      <c r="Z45" s="210"/>
      <c r="AA45" s="214">
        <f>C45+E45+G45+I45+K45+M45+O45+Q45+S45+U45+W45+Y45</f>
        <v>130500</v>
      </c>
      <c r="AB45" s="270">
        <f>D45+F45+H45+L45+N45+P45+R45+T45+V45+X45+Z45</f>
        <v>0</v>
      </c>
      <c r="AC45" s="270">
        <f>AC30-AA45</f>
        <v>49500</v>
      </c>
      <c r="AD45" s="207"/>
      <c r="AE45" s="207"/>
    </row>
    <row r="46" spans="1:32" ht="19.5" customHeight="1" x14ac:dyDescent="0.3">
      <c r="A46" s="233" t="s">
        <v>271</v>
      </c>
      <c r="B46" s="209" t="s">
        <v>253</v>
      </c>
      <c r="C46" s="258">
        <f>C30-C45</f>
        <v>32500</v>
      </c>
      <c r="D46" s="258"/>
      <c r="E46" s="258">
        <f>E30-E45</f>
        <v>27500</v>
      </c>
      <c r="F46" s="258"/>
      <c r="G46" s="258">
        <f t="shared" ref="G46" si="52">G30-G45</f>
        <v>-13500</v>
      </c>
      <c r="H46" s="258"/>
      <c r="I46" s="258">
        <f t="shared" ref="I46:Y46" si="53">I30-I45</f>
        <v>27500</v>
      </c>
      <c r="J46" s="258"/>
      <c r="K46" s="258">
        <f t="shared" si="53"/>
        <v>-11500</v>
      </c>
      <c r="L46" s="258"/>
      <c r="M46" s="258">
        <f t="shared" si="53"/>
        <v>-9500</v>
      </c>
      <c r="N46" s="258"/>
      <c r="O46" s="258">
        <f t="shared" si="53"/>
        <v>49500</v>
      </c>
      <c r="P46" s="258"/>
      <c r="Q46" s="258">
        <f t="shared" si="53"/>
        <v>-11500</v>
      </c>
      <c r="R46" s="258"/>
      <c r="S46" s="258">
        <f t="shared" si="53"/>
        <v>-11500</v>
      </c>
      <c r="T46" s="258"/>
      <c r="U46" s="258">
        <f t="shared" si="53"/>
        <v>-10000</v>
      </c>
      <c r="V46" s="258"/>
      <c r="W46" s="258">
        <f t="shared" si="53"/>
        <v>-10000</v>
      </c>
      <c r="X46" s="258"/>
      <c r="Y46" s="258">
        <f t="shared" si="53"/>
        <v>-10000</v>
      </c>
      <c r="Z46" s="258"/>
      <c r="AA46" s="273"/>
      <c r="AB46" s="270"/>
      <c r="AC46" s="270"/>
      <c r="AD46" s="207"/>
      <c r="AE46" s="207"/>
    </row>
    <row r="47" spans="1:32" ht="19.5" customHeight="1" x14ac:dyDescent="0.3">
      <c r="A47" s="233" t="s">
        <v>272</v>
      </c>
      <c r="B47" s="209" t="s">
        <v>250</v>
      </c>
      <c r="C47" s="210">
        <v>1250000</v>
      </c>
      <c r="D47" s="210"/>
      <c r="E47" s="210">
        <v>1250000</v>
      </c>
      <c r="F47" s="210"/>
      <c r="G47" s="210">
        <v>1250000</v>
      </c>
      <c r="H47" s="210"/>
      <c r="I47" s="210">
        <v>1250000</v>
      </c>
      <c r="J47" s="210"/>
      <c r="K47" s="210">
        <v>1250000</v>
      </c>
      <c r="L47" s="210"/>
      <c r="M47" s="210">
        <v>1250000</v>
      </c>
      <c r="N47" s="210"/>
      <c r="O47" s="210">
        <v>1250000</v>
      </c>
      <c r="P47" s="210"/>
      <c r="Q47" s="210">
        <v>1250000</v>
      </c>
      <c r="R47" s="210"/>
      <c r="S47" s="210">
        <v>1250000</v>
      </c>
      <c r="T47" s="210"/>
      <c r="U47" s="210">
        <v>1250000</v>
      </c>
      <c r="V47" s="210"/>
      <c r="W47" s="210">
        <v>1250000</v>
      </c>
      <c r="X47" s="210"/>
      <c r="Y47" s="210">
        <v>1250000</v>
      </c>
      <c r="Z47" s="210"/>
      <c r="AA47" s="214">
        <f>C47+E47+G47+I47+K47+M47+O47+Q47+S47+U47+W47+Y47</f>
        <v>15000000</v>
      </c>
      <c r="AB47" s="270">
        <f>D47+F47+H47+L47+N47+P47+R47+T47+V47+X47+Z47</f>
        <v>0</v>
      </c>
      <c r="AC47" s="270">
        <f>AC27-AA47</f>
        <v>27700000</v>
      </c>
      <c r="AD47" s="207">
        <f>AC47/30</f>
        <v>923333.33333333337</v>
      </c>
      <c r="AE47" s="192"/>
      <c r="AF47" s="206">
        <f>AA47/50</f>
        <v>300000</v>
      </c>
    </row>
    <row r="48" spans="1:32" ht="19.5" customHeight="1" x14ac:dyDescent="0.3">
      <c r="A48" s="233" t="s">
        <v>273</v>
      </c>
      <c r="B48" s="209" t="s">
        <v>250</v>
      </c>
      <c r="C48" s="258">
        <f>C27-C47</f>
        <v>-1499990</v>
      </c>
      <c r="D48" s="258"/>
      <c r="E48" s="258">
        <f>E27-E47</f>
        <v>8500010</v>
      </c>
      <c r="F48" s="258"/>
      <c r="G48" s="258">
        <f t="shared" ref="G48" si="54">G27-G47</f>
        <v>7500000</v>
      </c>
      <c r="H48" s="258"/>
      <c r="I48" s="258">
        <f t="shared" ref="I48:Y48" si="55">I27-I47</f>
        <v>10499990</v>
      </c>
      <c r="J48" s="258"/>
      <c r="K48" s="258">
        <f t="shared" si="55"/>
        <v>10249990</v>
      </c>
      <c r="L48" s="258"/>
      <c r="M48" s="258">
        <f t="shared" si="55"/>
        <v>10000010</v>
      </c>
      <c r="N48" s="258"/>
      <c r="O48" s="258">
        <f t="shared" si="55"/>
        <v>9999990</v>
      </c>
      <c r="P48" s="258"/>
      <c r="Q48" s="258">
        <f t="shared" si="55"/>
        <v>-7250000</v>
      </c>
      <c r="R48" s="258"/>
      <c r="S48" s="258">
        <f t="shared" si="55"/>
        <v>-7250000</v>
      </c>
      <c r="T48" s="258"/>
      <c r="U48" s="258">
        <f t="shared" si="55"/>
        <v>-7250000</v>
      </c>
      <c r="V48" s="258"/>
      <c r="W48" s="258">
        <f t="shared" si="55"/>
        <v>-4550000</v>
      </c>
      <c r="X48" s="258"/>
      <c r="Y48" s="258">
        <f t="shared" si="55"/>
        <v>-1250000</v>
      </c>
      <c r="Z48" s="258"/>
      <c r="AA48" s="273"/>
      <c r="AB48" s="270"/>
      <c r="AC48" s="270"/>
      <c r="AD48" s="207"/>
      <c r="AE48" s="192"/>
    </row>
    <row r="49" spans="1:31" ht="19.5" customHeight="1" x14ac:dyDescent="0.3">
      <c r="C49" s="274">
        <f>C43*0.6+C41+C47/50+C45*0.6</f>
        <v>169500</v>
      </c>
      <c r="D49" s="274"/>
      <c r="E49" s="274">
        <f>E43*0.6+E41+E47/50+E45*0.6</f>
        <v>292500</v>
      </c>
      <c r="F49" s="274"/>
      <c r="G49" s="274">
        <f t="shared" ref="G49:W49" si="56">G43*0.6+G41+G47/50+G45*0.6</f>
        <v>305100</v>
      </c>
      <c r="H49" s="274"/>
      <c r="I49" s="274">
        <f t="shared" si="56"/>
        <v>292500</v>
      </c>
      <c r="J49" s="274"/>
      <c r="K49" s="274">
        <f t="shared" si="56"/>
        <v>244900</v>
      </c>
      <c r="L49" s="274"/>
      <c r="M49" s="274">
        <f t="shared" si="56"/>
        <v>214700</v>
      </c>
      <c r="N49" s="274"/>
      <c r="O49" s="274">
        <f t="shared" si="56"/>
        <v>362300</v>
      </c>
      <c r="P49" s="274"/>
      <c r="Q49" s="274">
        <f>Q43*0.6+Q41+Q47/50+Q45*0.6</f>
        <v>279900</v>
      </c>
      <c r="R49" s="274"/>
      <c r="S49" s="274">
        <f>S43*0.6+S41+S47/50+S45*0.6</f>
        <v>279900</v>
      </c>
      <c r="T49" s="274"/>
      <c r="U49" s="274">
        <f>U43*0.6+U41+U47/50+U45*0.6</f>
        <v>221000</v>
      </c>
      <c r="V49" s="274"/>
      <c r="W49" s="274">
        <f t="shared" si="56"/>
        <v>221000</v>
      </c>
      <c r="X49" s="274"/>
      <c r="Y49" s="274">
        <f>Y43*0.6+Y41+Y47/50+Y45*0.6</f>
        <v>446000</v>
      </c>
      <c r="Z49" s="274"/>
      <c r="AA49" s="274">
        <f>AA43*0.6+AA41+AA47/50+AA45*0.6</f>
        <v>3329300</v>
      </c>
      <c r="AB49" s="275">
        <f>AB41+AB43*0.6+AB47/50+AB45*0.6</f>
        <v>0</v>
      </c>
      <c r="AC49" s="275">
        <f>AC41+AC43*0.6+AC47/50+AC45*0.6</f>
        <v>220700</v>
      </c>
      <c r="AD49" s="207">
        <f>AB49-AA21/50</f>
        <v>-71000</v>
      </c>
      <c r="AE49" s="192"/>
    </row>
    <row r="50" spans="1:31" ht="19.5" customHeight="1" x14ac:dyDescent="0.3">
      <c r="C50" s="274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4"/>
      <c r="W50" s="274"/>
      <c r="X50" s="274"/>
      <c r="Y50" s="276" t="s">
        <v>274</v>
      </c>
      <c r="Z50" s="276"/>
      <c r="AA50" s="207" t="s">
        <v>217</v>
      </c>
      <c r="AB50" s="192" t="s">
        <v>218</v>
      </c>
      <c r="AC50" s="275"/>
      <c r="AD50" s="207"/>
      <c r="AE50" s="192"/>
    </row>
    <row r="51" spans="1:31" ht="19.5" customHeight="1" x14ac:dyDescent="0.3">
      <c r="A51" s="209" t="s">
        <v>50</v>
      </c>
      <c r="B51" s="209" t="s">
        <v>257</v>
      </c>
      <c r="C51" s="210">
        <v>0</v>
      </c>
      <c r="D51" s="210"/>
      <c r="E51" s="210">
        <v>6500000</v>
      </c>
      <c r="F51" s="210"/>
      <c r="G51" s="210">
        <v>6500000</v>
      </c>
      <c r="H51" s="210"/>
      <c r="I51" s="210">
        <v>6500000</v>
      </c>
      <c r="J51" s="210"/>
      <c r="K51" s="210">
        <v>6500000</v>
      </c>
      <c r="L51" s="210"/>
      <c r="M51" s="210">
        <v>6500000</v>
      </c>
      <c r="N51" s="210"/>
      <c r="O51" s="210">
        <v>6500000</v>
      </c>
      <c r="P51" s="210"/>
      <c r="Q51" s="210"/>
      <c r="R51" s="210"/>
      <c r="S51" s="210"/>
      <c r="T51" s="210"/>
      <c r="U51" s="210"/>
      <c r="V51" s="210"/>
      <c r="W51" s="210">
        <f>865374-435300</f>
        <v>430074</v>
      </c>
      <c r="X51" s="210"/>
      <c r="Y51" s="277">
        <v>134626</v>
      </c>
      <c r="Z51" s="277"/>
      <c r="AA51" s="214">
        <f>C51+E51+G51+I51+K51+M51+O51+Q51+S51+U51+W51+Y51</f>
        <v>39564700</v>
      </c>
      <c r="AB51" s="270">
        <f>D51+F51+H51+L51+N51+P51+R51+T51+V51+X51+Z51</f>
        <v>0</v>
      </c>
      <c r="AC51" s="270"/>
      <c r="AD51" s="207"/>
      <c r="AE51" s="192"/>
    </row>
    <row r="52" spans="1:31" ht="19.5" customHeight="1" x14ac:dyDescent="0.3">
      <c r="A52" s="271" t="s">
        <v>275</v>
      </c>
      <c r="B52" s="209"/>
      <c r="C52" s="258">
        <f>C51-C34</f>
        <v>-1000000</v>
      </c>
      <c r="D52" s="210"/>
      <c r="E52" s="258">
        <f>E51-E34</f>
        <v>500000</v>
      </c>
      <c r="F52" s="258"/>
      <c r="G52" s="258">
        <f>G51-G34</f>
        <v>1000000</v>
      </c>
      <c r="H52" s="258"/>
      <c r="I52" s="258">
        <f>I51-I34</f>
        <v>0</v>
      </c>
      <c r="J52" s="258"/>
      <c r="K52" s="258">
        <f>K51-K34</f>
        <v>-500000</v>
      </c>
      <c r="L52" s="258"/>
      <c r="M52" s="258">
        <f>M51-M34</f>
        <v>-500000</v>
      </c>
      <c r="N52" s="258"/>
      <c r="O52" s="258">
        <f>O51-O34</f>
        <v>-500000</v>
      </c>
      <c r="P52" s="258"/>
      <c r="Q52" s="258"/>
      <c r="R52" s="258"/>
      <c r="S52" s="258">
        <f t="shared" ref="S52:W52" si="57">S32</f>
        <v>0</v>
      </c>
      <c r="T52" s="258"/>
      <c r="U52" s="258">
        <f t="shared" si="57"/>
        <v>0</v>
      </c>
      <c r="V52" s="258"/>
      <c r="W52" s="258">
        <f t="shared" si="57"/>
        <v>0</v>
      </c>
      <c r="X52" s="258"/>
      <c r="Y52" s="258">
        <f>Y32</f>
        <v>0</v>
      </c>
      <c r="Z52" s="258"/>
      <c r="AA52" s="273">
        <f>SUM(E52:Y52)</f>
        <v>0</v>
      </c>
      <c r="AB52" s="270"/>
      <c r="AC52" s="270"/>
      <c r="AD52" s="192"/>
      <c r="AE52" s="192"/>
    </row>
    <row r="53" spans="1:31" ht="19.5" customHeight="1" x14ac:dyDescent="0.3">
      <c r="A53" s="209" t="s">
        <v>51</v>
      </c>
      <c r="B53" s="209" t="s">
        <v>257</v>
      </c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78">
        <v>0</v>
      </c>
      <c r="V53" s="278"/>
      <c r="W53" s="210">
        <v>0</v>
      </c>
      <c r="X53" s="210"/>
      <c r="Y53" s="277">
        <v>435300</v>
      </c>
      <c r="Z53" s="277"/>
      <c r="AA53" s="214">
        <f>C53+E53+G53+I53+K53+M53+O53+Q53+S53+U53+W53+Y53</f>
        <v>435300</v>
      </c>
      <c r="AB53" s="270">
        <f>D53+F53+H53+L53+N53+P53+R53+T53+V53+X53+Z53</f>
        <v>0</v>
      </c>
      <c r="AC53" s="270"/>
      <c r="AD53" s="192"/>
      <c r="AE53" s="192"/>
    </row>
    <row r="54" spans="1:31" ht="19.5" customHeight="1" x14ac:dyDescent="0.3">
      <c r="A54" s="271" t="s">
        <v>276</v>
      </c>
      <c r="B54" s="209" t="s">
        <v>257</v>
      </c>
      <c r="C54" s="210"/>
      <c r="D54" s="210"/>
      <c r="E54" s="258">
        <f>E33-E53</f>
        <v>100000</v>
      </c>
      <c r="F54" s="258"/>
      <c r="G54" s="258">
        <f t="shared" ref="G54" si="58">G33-G53</f>
        <v>100000</v>
      </c>
      <c r="H54" s="258"/>
      <c r="I54" s="258">
        <f t="shared" ref="I54:W54" si="59">I33-I53</f>
        <v>100000</v>
      </c>
      <c r="J54" s="258"/>
      <c r="K54" s="258">
        <f t="shared" si="59"/>
        <v>100000</v>
      </c>
      <c r="L54" s="258"/>
      <c r="M54" s="258">
        <f t="shared" si="59"/>
        <v>0</v>
      </c>
      <c r="N54" s="258"/>
      <c r="O54" s="258">
        <f t="shared" si="59"/>
        <v>100000</v>
      </c>
      <c r="P54" s="258"/>
      <c r="Q54" s="258"/>
      <c r="R54" s="258"/>
      <c r="S54" s="258">
        <f t="shared" si="59"/>
        <v>0</v>
      </c>
      <c r="T54" s="258"/>
      <c r="U54" s="258">
        <f t="shared" si="59"/>
        <v>0</v>
      </c>
      <c r="V54" s="258"/>
      <c r="W54" s="258">
        <f t="shared" si="59"/>
        <v>0</v>
      </c>
      <c r="X54" s="258"/>
      <c r="Y54" s="258">
        <f>Y33-Y53</f>
        <v>-435300</v>
      </c>
      <c r="Z54" s="258"/>
      <c r="AA54" s="273">
        <f>SUM(E54:Y54)</f>
        <v>64700</v>
      </c>
      <c r="AB54" s="270"/>
      <c r="AC54" s="270"/>
      <c r="AD54" s="192"/>
      <c r="AE54" s="192"/>
    </row>
    <row r="55" spans="1:31" ht="19.5" customHeight="1" x14ac:dyDescent="0.3">
      <c r="C55" s="274">
        <f>SUM(C51:C53)</f>
        <v>-1000000</v>
      </c>
      <c r="D55" s="274"/>
      <c r="E55" s="274">
        <f>E51+E53</f>
        <v>6500000</v>
      </c>
      <c r="F55" s="274"/>
      <c r="G55" s="274">
        <f t="shared" ref="G55" si="60">G51+G53</f>
        <v>6500000</v>
      </c>
      <c r="H55" s="274"/>
      <c r="I55" s="274">
        <f t="shared" ref="I55:W55" si="61">I51+I53</f>
        <v>6500000</v>
      </c>
      <c r="J55" s="274">
        <f t="shared" si="61"/>
        <v>0</v>
      </c>
      <c r="K55" s="274">
        <f t="shared" si="61"/>
        <v>6500000</v>
      </c>
      <c r="L55" s="274"/>
      <c r="M55" s="274">
        <f t="shared" si="61"/>
        <v>6500000</v>
      </c>
      <c r="N55" s="274"/>
      <c r="O55" s="274">
        <f t="shared" si="61"/>
        <v>6500000</v>
      </c>
      <c r="P55" s="274"/>
      <c r="Q55" s="274"/>
      <c r="R55" s="274"/>
      <c r="S55" s="274">
        <f>S51+S53</f>
        <v>0</v>
      </c>
      <c r="T55" s="274"/>
      <c r="U55" s="274">
        <f t="shared" si="61"/>
        <v>0</v>
      </c>
      <c r="V55" s="274"/>
      <c r="W55" s="274">
        <f t="shared" si="61"/>
        <v>430074</v>
      </c>
      <c r="X55" s="274"/>
      <c r="Y55" s="274">
        <f>Y51+Y53</f>
        <v>569926</v>
      </c>
      <c r="Z55" s="274"/>
      <c r="AA55" s="274"/>
      <c r="AB55" s="275">
        <f>AB51+AB53</f>
        <v>0</v>
      </c>
      <c r="AC55" s="275">
        <f>AC51+AC53</f>
        <v>0</v>
      </c>
      <c r="AD55" s="207">
        <f>AA34-AB55</f>
        <v>40000000</v>
      </c>
      <c r="AE55" s="192"/>
    </row>
    <row r="56" spans="1:31" ht="19.5" customHeight="1" x14ac:dyDescent="0.3">
      <c r="A56" s="263" t="s">
        <v>277</v>
      </c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AA56" s="192"/>
      <c r="AB56" s="207"/>
      <c r="AC56" s="207"/>
      <c r="AD56" s="192"/>
      <c r="AE56" s="192"/>
    </row>
    <row r="57" spans="1:31" ht="19.5" customHeight="1" x14ac:dyDescent="0.3">
      <c r="E57" s="262"/>
      <c r="F57" s="262"/>
      <c r="G57" s="262"/>
      <c r="H57" s="262"/>
      <c r="I57" s="262"/>
      <c r="J57" s="262"/>
      <c r="M57" s="262"/>
      <c r="N57" s="262"/>
      <c r="AA57" s="192"/>
      <c r="AB57" s="192"/>
      <c r="AC57" s="192"/>
      <c r="AD57" s="192"/>
      <c r="AE57" s="192"/>
    </row>
    <row r="58" spans="1:31" ht="19.5" customHeight="1" x14ac:dyDescent="0.3">
      <c r="A58" s="209" t="s">
        <v>266</v>
      </c>
      <c r="B58" s="209" t="s">
        <v>278</v>
      </c>
      <c r="C58" s="279">
        <v>150</v>
      </c>
      <c r="D58" s="279"/>
      <c r="E58" s="279">
        <v>150</v>
      </c>
      <c r="F58" s="279"/>
      <c r="G58" s="279">
        <v>150</v>
      </c>
      <c r="H58" s="279"/>
      <c r="I58" s="279">
        <v>150</v>
      </c>
      <c r="J58" s="279"/>
      <c r="K58" s="279">
        <v>145</v>
      </c>
      <c r="L58" s="279"/>
      <c r="M58" s="279">
        <v>140</v>
      </c>
      <c r="N58" s="279"/>
      <c r="O58" s="279">
        <v>140</v>
      </c>
      <c r="P58" s="279"/>
      <c r="Q58" s="279">
        <v>145</v>
      </c>
      <c r="R58" s="279"/>
      <c r="S58" s="279">
        <v>145</v>
      </c>
      <c r="T58" s="279"/>
      <c r="U58" s="279">
        <v>145</v>
      </c>
      <c r="V58" s="279"/>
      <c r="W58" s="279">
        <v>150</v>
      </c>
      <c r="X58" s="279"/>
      <c r="Y58" s="279">
        <v>140</v>
      </c>
      <c r="Z58" s="279"/>
      <c r="AA58" s="214">
        <f>(C41*C58+E41*E58+G41*G58+I41*I58+K41*K58+M41*M58+O41*O58+Q41*Q58+S41*S58+U41*U58+W41*W58+Y41*Y58)/(C41+E41+G41+I41+K41+M41+O41+Q41+S41+U41+W41+Y41)</f>
        <v>144.5667870036101</v>
      </c>
      <c r="AB58" s="214"/>
      <c r="AC58" s="214"/>
      <c r="AD58" s="192"/>
      <c r="AE58" s="192"/>
    </row>
    <row r="59" spans="1:31" ht="19.5" customHeight="1" x14ac:dyDescent="0.3">
      <c r="A59" s="209" t="s">
        <v>268</v>
      </c>
      <c r="B59" s="209" t="s">
        <v>279</v>
      </c>
      <c r="C59" s="279">
        <f>C58/50*30*1.07</f>
        <v>96.300000000000011</v>
      </c>
      <c r="D59" s="279"/>
      <c r="E59" s="279">
        <f>E58/50*30*1.07</f>
        <v>96.300000000000011</v>
      </c>
      <c r="F59" s="279"/>
      <c r="G59" s="279">
        <f>G58/50*30*1.07</f>
        <v>96.300000000000011</v>
      </c>
      <c r="H59" s="279"/>
      <c r="I59" s="279">
        <f>I58/50*30*1.07</f>
        <v>96.300000000000011</v>
      </c>
      <c r="J59" s="279"/>
      <c r="K59" s="279">
        <f>K58/50*30*1.07</f>
        <v>93.09</v>
      </c>
      <c r="L59" s="279"/>
      <c r="M59" s="279">
        <f>M58/50*30*1.07</f>
        <v>89.88000000000001</v>
      </c>
      <c r="N59" s="279"/>
      <c r="O59" s="279">
        <f>O58/50*30*1.07</f>
        <v>89.88000000000001</v>
      </c>
      <c r="P59" s="279"/>
      <c r="Q59" s="279">
        <f>Q58/50*30*1.07</f>
        <v>93.09</v>
      </c>
      <c r="R59" s="279"/>
      <c r="S59" s="279">
        <f>S58/50*30*1.07</f>
        <v>93.09</v>
      </c>
      <c r="T59" s="279"/>
      <c r="U59" s="279">
        <f t="shared" ref="U59:Y59" si="62">U58/50*30*1.1</f>
        <v>95.7</v>
      </c>
      <c r="V59" s="279"/>
      <c r="W59" s="279">
        <f t="shared" si="62"/>
        <v>99.000000000000014</v>
      </c>
      <c r="X59" s="279"/>
      <c r="Y59" s="279">
        <f t="shared" si="62"/>
        <v>92.4</v>
      </c>
      <c r="Z59" s="279"/>
      <c r="AA59" s="214">
        <f>(C43*C59+E43*E59+G43*G59+I43*I59+K43*K59+M43*M59+O43*O59+Q43*Q59+S43*S59+U43*U59+W43*W59+Y43*Y59)/(C43+E43+G43+I43+K43+M43+O43+Q43+S43+U43+W43+Y43)</f>
        <v>94.329540229885069</v>
      </c>
      <c r="AB59" s="214"/>
      <c r="AC59" s="214"/>
      <c r="AD59" s="262"/>
      <c r="AE59" s="192"/>
    </row>
    <row r="60" spans="1:31" ht="19.5" customHeight="1" x14ac:dyDescent="0.3">
      <c r="A60" s="233" t="s">
        <v>270</v>
      </c>
      <c r="B60" s="209" t="s">
        <v>279</v>
      </c>
      <c r="C60" s="279">
        <f>C59*1.07</f>
        <v>103.04100000000003</v>
      </c>
      <c r="D60" s="279"/>
      <c r="E60" s="279">
        <f>E59*1.07</f>
        <v>103.04100000000003</v>
      </c>
      <c r="F60" s="279"/>
      <c r="G60" s="279">
        <v>102</v>
      </c>
      <c r="H60" s="279"/>
      <c r="I60" s="279">
        <f t="shared" ref="I60:Y60" si="63">I59*1.07</f>
        <v>103.04100000000003</v>
      </c>
      <c r="J60" s="279"/>
      <c r="K60" s="279">
        <f t="shared" si="63"/>
        <v>99.606300000000005</v>
      </c>
      <c r="L60" s="279"/>
      <c r="M60" s="279">
        <f t="shared" si="63"/>
        <v>96.171600000000012</v>
      </c>
      <c r="N60" s="279"/>
      <c r="O60" s="279">
        <f t="shared" si="63"/>
        <v>96.171600000000012</v>
      </c>
      <c r="P60" s="279"/>
      <c r="Q60" s="279">
        <f t="shared" ref="Q60" si="64">Q59*1.07</f>
        <v>99.606300000000005</v>
      </c>
      <c r="R60" s="279"/>
      <c r="S60" s="279">
        <f t="shared" si="63"/>
        <v>99.606300000000005</v>
      </c>
      <c r="T60" s="279"/>
      <c r="U60" s="279">
        <f t="shared" si="63"/>
        <v>102.39900000000002</v>
      </c>
      <c r="V60" s="279"/>
      <c r="W60" s="279">
        <f t="shared" si="63"/>
        <v>105.93000000000002</v>
      </c>
      <c r="X60" s="279"/>
      <c r="Y60" s="279">
        <f t="shared" si="63"/>
        <v>98.868000000000009</v>
      </c>
      <c r="Z60" s="279"/>
      <c r="AA60" s="214">
        <f>(C45*C60+E45*E60+G45*G60+I45*I60+K45*K60+M45*M60+O45*O60+Q45*Q60+S45*S60+U45*U60+W45*W60+Y45*Y60)/(C45+E45+G45+I45+K45+M45+O45+Q45+S45+U45+W45+Y45)</f>
        <v>100.8249183908046</v>
      </c>
      <c r="AB60" s="214"/>
      <c r="AC60" s="214"/>
      <c r="AD60" s="262"/>
      <c r="AE60" s="192"/>
    </row>
    <row r="61" spans="1:31" ht="19.5" customHeight="1" x14ac:dyDescent="0.3">
      <c r="A61" s="209" t="s">
        <v>272</v>
      </c>
      <c r="B61" s="209" t="s">
        <v>280</v>
      </c>
      <c r="C61" s="279">
        <f>C58/50</f>
        <v>3</v>
      </c>
      <c r="D61" s="279"/>
      <c r="E61" s="279">
        <f>E58/50</f>
        <v>3</v>
      </c>
      <c r="F61" s="279"/>
      <c r="G61" s="279">
        <f t="shared" ref="G61" si="65">G58/50</f>
        <v>3</v>
      </c>
      <c r="H61" s="279"/>
      <c r="I61" s="279">
        <f t="shared" ref="I61:Y61" si="66">I58/50</f>
        <v>3</v>
      </c>
      <c r="J61" s="279"/>
      <c r="K61" s="279">
        <f t="shared" si="66"/>
        <v>2.9</v>
      </c>
      <c r="L61" s="279"/>
      <c r="M61" s="279">
        <f t="shared" si="66"/>
        <v>2.8</v>
      </c>
      <c r="N61" s="279"/>
      <c r="O61" s="279">
        <f t="shared" si="66"/>
        <v>2.8</v>
      </c>
      <c r="P61" s="279"/>
      <c r="Q61" s="279">
        <f t="shared" ref="Q61" si="67">Q58/50</f>
        <v>2.9</v>
      </c>
      <c r="R61" s="279"/>
      <c r="S61" s="279">
        <f t="shared" si="66"/>
        <v>2.9</v>
      </c>
      <c r="T61" s="279"/>
      <c r="U61" s="279">
        <f t="shared" si="66"/>
        <v>2.9</v>
      </c>
      <c r="V61" s="279"/>
      <c r="W61" s="279">
        <f t="shared" si="66"/>
        <v>3</v>
      </c>
      <c r="X61" s="279"/>
      <c r="Y61" s="279">
        <f t="shared" si="66"/>
        <v>2.8</v>
      </c>
      <c r="Z61" s="279"/>
      <c r="AA61" s="280">
        <f>(C47*C61+E47*E61+G47*G61+I47*I61+K47*K61+M47*M61+O47*O61+Q47*Q61+S47*S61+U47*U61+W47*W61+Y47*Y61)/(C47+E47+G47+I47+K47+M47+O47+Q47+S47+U47+W47+Y47)</f>
        <v>2.9166666666666665</v>
      </c>
      <c r="AB61" s="214"/>
      <c r="AC61" s="214"/>
      <c r="AD61" s="192"/>
      <c r="AE61" s="192"/>
    </row>
    <row r="62" spans="1:31" ht="19.5" customHeight="1" x14ac:dyDescent="0.3">
      <c r="C62" s="281">
        <f t="shared" ref="C62:G62" si="68">(C58*C41+C59*C43+C60*C45+C47*C61)/C49</f>
        <v>156.15225663716814</v>
      </c>
      <c r="E62" s="281">
        <f t="shared" si="68"/>
        <v>155.94192307692308</v>
      </c>
      <c r="F62" s="281"/>
      <c r="G62" s="281">
        <f t="shared" si="68"/>
        <v>156.10619469026548</v>
      </c>
      <c r="H62" s="281"/>
      <c r="I62" s="281">
        <f t="shared" ref="I62:O62" si="69">(I58*I41+I59*I43+I60*I45+I47*I61)/I49</f>
        <v>155.94192307692308</v>
      </c>
      <c r="J62" s="281"/>
      <c r="K62" s="281">
        <f t="shared" si="69"/>
        <v>151.31144324213966</v>
      </c>
      <c r="L62" s="281"/>
      <c r="M62" s="281">
        <f t="shared" si="69"/>
        <v>145.74210619469025</v>
      </c>
      <c r="N62" s="282"/>
      <c r="O62" s="281">
        <f t="shared" si="69"/>
        <v>143.76097653878</v>
      </c>
      <c r="P62" s="282"/>
      <c r="Q62" s="281">
        <f t="shared" ref="Q62" si="70">(Q58*Q41+Q59*Q43+Q60*Q45+Q47*Q61)/Q49</f>
        <v>150.52223097534835</v>
      </c>
      <c r="R62" s="283"/>
      <c r="S62" s="281">
        <f>(S58*S41+S59*S43+S60*S45+S47*S61)/S49</f>
        <v>150.52223097534835</v>
      </c>
      <c r="T62" s="281"/>
      <c r="U62" s="281">
        <f t="shared" ref="U62:Y62" si="71">(U58*U41+U59*U43+U60*U45+U47*U61)/U49</f>
        <v>153.57009049773757</v>
      </c>
      <c r="V62" s="281"/>
      <c r="W62" s="281">
        <f t="shared" si="71"/>
        <v>158.86561085972852</v>
      </c>
      <c r="X62" s="281"/>
      <c r="Y62" s="281">
        <f t="shared" si="71"/>
        <v>144.10017937219732</v>
      </c>
      <c r="Z62" s="281"/>
      <c r="AA62" s="214">
        <f>(C49*C62+E49*E62+G49*G62+I49*I62+K49*K62+M49*M62+O49*O62+Q49*Q62+S49*S62+U49*U62+W49*W62+Y49*Y62)/(C49+E49+G49+I49+K49+M49+O49+Q49+S49+U49+W49+Y49)</f>
        <v>151.1827566905956</v>
      </c>
      <c r="AB62" s="284"/>
      <c r="AC62" s="214"/>
      <c r="AD62" s="192"/>
      <c r="AE62" s="192"/>
    </row>
    <row r="63" spans="1:31" ht="19.5" customHeight="1" x14ac:dyDescent="0.3">
      <c r="A63" s="209" t="s">
        <v>50</v>
      </c>
      <c r="B63" s="209" t="s">
        <v>281</v>
      </c>
      <c r="C63" s="285">
        <v>2.8</v>
      </c>
      <c r="D63" s="285">
        <v>2.8</v>
      </c>
      <c r="E63" s="285">
        <v>2.8</v>
      </c>
      <c r="F63" s="285">
        <v>2.8</v>
      </c>
      <c r="G63" s="285">
        <v>2.8</v>
      </c>
      <c r="H63" s="285">
        <v>2.8</v>
      </c>
      <c r="I63" s="285">
        <v>2.8</v>
      </c>
      <c r="J63" s="285">
        <v>2.8</v>
      </c>
      <c r="K63" s="285">
        <v>2.8</v>
      </c>
      <c r="L63" s="285">
        <v>2.8</v>
      </c>
      <c r="M63" s="285">
        <v>2.8</v>
      </c>
      <c r="N63" s="285">
        <v>2.8</v>
      </c>
      <c r="O63" s="285">
        <v>2.8</v>
      </c>
      <c r="P63" s="285">
        <v>2.8</v>
      </c>
      <c r="Q63" s="285">
        <v>2.8</v>
      </c>
      <c r="R63" s="285">
        <v>2.8</v>
      </c>
      <c r="S63" s="285">
        <v>2.8</v>
      </c>
      <c r="T63" s="285">
        <v>2.8</v>
      </c>
      <c r="U63" s="285">
        <v>2.8</v>
      </c>
      <c r="V63" s="285">
        <v>2.8</v>
      </c>
      <c r="W63" s="285">
        <v>2.8</v>
      </c>
      <c r="X63" s="285">
        <v>2.8</v>
      </c>
      <c r="Y63" s="285">
        <v>2.8</v>
      </c>
      <c r="Z63" s="285"/>
      <c r="AA63" s="280">
        <f>(C51*C63+E51*E63+G51*G63+I51*I63+K51*K63+M51*M63+O51*O63+Q51*Q63+S51*S63+U51*U63+W51*W63+Y51*Y63)/(C51+E51+G51+I51+K51+M51+O51+Q51+S51+U51+W51+Y51)</f>
        <v>2.8</v>
      </c>
      <c r="AB63" s="280"/>
      <c r="AC63" s="280"/>
      <c r="AD63" s="192"/>
      <c r="AE63" s="192"/>
    </row>
    <row r="64" spans="1:31" ht="19.5" customHeight="1" x14ac:dyDescent="0.3">
      <c r="A64" s="209" t="s">
        <v>51</v>
      </c>
      <c r="B64" s="209" t="s">
        <v>281</v>
      </c>
      <c r="C64" s="285">
        <v>2.8</v>
      </c>
      <c r="D64" s="285"/>
      <c r="E64" s="285">
        <v>2.8</v>
      </c>
      <c r="F64" s="285"/>
      <c r="G64" s="285">
        <v>2.8</v>
      </c>
      <c r="H64" s="285"/>
      <c r="I64" s="285">
        <v>2.8</v>
      </c>
      <c r="J64" s="285"/>
      <c r="K64" s="285">
        <v>2.8</v>
      </c>
      <c r="L64" s="285"/>
      <c r="M64" s="285">
        <v>2.8</v>
      </c>
      <c r="N64" s="285"/>
      <c r="O64" s="285">
        <v>2.8</v>
      </c>
      <c r="P64" s="285"/>
      <c r="Q64" s="285">
        <v>2.8</v>
      </c>
      <c r="R64" s="285"/>
      <c r="S64" s="285">
        <v>2.8</v>
      </c>
      <c r="T64" s="285"/>
      <c r="U64" s="285">
        <v>2.8</v>
      </c>
      <c r="V64" s="285"/>
      <c r="W64" s="285">
        <v>2.8</v>
      </c>
      <c r="X64" s="285"/>
      <c r="Y64" s="285">
        <v>2.8</v>
      </c>
      <c r="Z64" s="285"/>
      <c r="AA64" s="280">
        <f>(C47*C64+E47*E64+G47*G64+I47*I64+K47*K64+M47*M64+O47*O64+Q47*Q64+S47*S64+U47*U64+W47*W64+Y47*Y64)/(C47+E47+G47+I47+K47+M47+O47+Q47+S47+U47+W47+Y47)</f>
        <v>2.8</v>
      </c>
      <c r="AB64" s="280"/>
      <c r="AC64" s="280"/>
      <c r="AD64" s="192"/>
      <c r="AE64" s="192"/>
    </row>
    <row r="65" spans="1:31" ht="19.5" customHeight="1" x14ac:dyDescent="0.3">
      <c r="I65" s="286"/>
      <c r="M65" s="286"/>
      <c r="AA65" s="192"/>
      <c r="AB65" s="192"/>
      <c r="AC65" s="192"/>
      <c r="AD65" s="192"/>
      <c r="AE65" s="192"/>
    </row>
    <row r="66" spans="1:31" ht="19.5" customHeight="1" x14ac:dyDescent="0.3">
      <c r="A66" s="287" t="s">
        <v>282</v>
      </c>
      <c r="AA66" s="192"/>
      <c r="AB66" s="192"/>
      <c r="AC66" s="192"/>
      <c r="AD66" s="192"/>
      <c r="AE66" s="192"/>
    </row>
    <row r="67" spans="1:31" ht="19.5" customHeight="1" x14ac:dyDescent="0.3">
      <c r="AA67" s="192"/>
      <c r="AB67" s="192"/>
      <c r="AC67" s="192"/>
      <c r="AD67" s="192"/>
      <c r="AE67" s="192"/>
    </row>
    <row r="68" spans="1:31" ht="19.5" customHeight="1" x14ac:dyDescent="0.3">
      <c r="A68" s="209" t="s">
        <v>283</v>
      </c>
      <c r="B68" s="209" t="s">
        <v>284</v>
      </c>
      <c r="C68" s="288">
        <f>C35</f>
        <v>1080</v>
      </c>
      <c r="D68" s="288"/>
      <c r="E68" s="288">
        <f>E35</f>
        <v>1860</v>
      </c>
      <c r="F68" s="260"/>
      <c r="G68" s="288">
        <f>G35</f>
        <v>1800</v>
      </c>
      <c r="H68" s="260"/>
      <c r="I68" s="288">
        <f>I35</f>
        <v>1860</v>
      </c>
      <c r="J68" s="260"/>
      <c r="K68" s="288">
        <f>K35</f>
        <v>1860</v>
      </c>
      <c r="L68" s="260"/>
      <c r="M68" s="288">
        <f>M35</f>
        <v>1800</v>
      </c>
      <c r="N68" s="260"/>
      <c r="O68" s="288">
        <f>O35</f>
        <v>1860</v>
      </c>
      <c r="P68" s="260"/>
      <c r="Q68" s="288">
        <f>Q35</f>
        <v>880</v>
      </c>
      <c r="R68" s="260"/>
      <c r="S68" s="288">
        <f>S35</f>
        <v>0</v>
      </c>
      <c r="T68" s="260"/>
      <c r="U68" s="288">
        <f>U35</f>
        <v>0</v>
      </c>
      <c r="V68" s="277"/>
      <c r="W68" s="288">
        <f>W35</f>
        <v>0</v>
      </c>
      <c r="X68" s="277"/>
      <c r="Y68" s="288">
        <f>Y35</f>
        <v>0</v>
      </c>
      <c r="Z68" s="277"/>
      <c r="AA68" s="288">
        <f>AA35</f>
        <v>13000</v>
      </c>
      <c r="AB68" s="270">
        <f>AA56</f>
        <v>0</v>
      </c>
      <c r="AC68" s="270">
        <f>AB56</f>
        <v>0</v>
      </c>
      <c r="AD68" s="192"/>
      <c r="AE68" s="192"/>
    </row>
    <row r="69" spans="1:31" ht="19.5" customHeight="1" x14ac:dyDescent="0.3">
      <c r="A69" s="209" t="s">
        <v>68</v>
      </c>
      <c r="B69" s="209" t="s">
        <v>285</v>
      </c>
      <c r="C69" s="288">
        <v>100</v>
      </c>
      <c r="D69" s="288">
        <v>100</v>
      </c>
      <c r="E69" s="288">
        <v>100</v>
      </c>
      <c r="F69" s="288">
        <v>100</v>
      </c>
      <c r="G69" s="288">
        <v>100</v>
      </c>
      <c r="H69" s="288">
        <v>100</v>
      </c>
      <c r="I69" s="288">
        <v>100</v>
      </c>
      <c r="J69" s="288">
        <v>100</v>
      </c>
      <c r="K69" s="288">
        <v>100</v>
      </c>
      <c r="L69" s="288">
        <v>100</v>
      </c>
      <c r="M69" s="288">
        <v>100</v>
      </c>
      <c r="N69" s="288">
        <v>100</v>
      </c>
      <c r="O69" s="288">
        <v>100</v>
      </c>
      <c r="P69" s="288">
        <v>100</v>
      </c>
      <c r="Q69" s="288">
        <v>100</v>
      </c>
      <c r="R69" s="288">
        <v>100</v>
      </c>
      <c r="S69" s="288">
        <v>100</v>
      </c>
      <c r="T69" s="288">
        <v>100</v>
      </c>
      <c r="U69" s="288">
        <v>100</v>
      </c>
      <c r="V69" s="288">
        <v>100</v>
      </c>
      <c r="W69" s="288">
        <v>100</v>
      </c>
      <c r="X69" s="288">
        <v>100</v>
      </c>
      <c r="Y69" s="288">
        <v>100</v>
      </c>
      <c r="Z69" s="288"/>
      <c r="AA69" s="288">
        <v>70</v>
      </c>
      <c r="AB69" s="232"/>
      <c r="AC69" s="232"/>
      <c r="AD69" s="192"/>
      <c r="AE69" s="192"/>
    </row>
    <row r="70" spans="1:31" x14ac:dyDescent="0.3">
      <c r="AA70" s="192"/>
      <c r="AB70" s="192"/>
      <c r="AC70" s="192"/>
      <c r="AD70" s="192"/>
      <c r="AE70" s="192"/>
    </row>
    <row r="71" spans="1:31" hidden="1" x14ac:dyDescent="0.3">
      <c r="A71" s="287" t="s">
        <v>286</v>
      </c>
      <c r="B71" s="289"/>
      <c r="C71" s="290"/>
      <c r="D71" s="290"/>
      <c r="AA71" s="192"/>
      <c r="AB71" s="192"/>
      <c r="AC71" s="192"/>
      <c r="AD71" s="192"/>
      <c r="AE71" s="192"/>
    </row>
    <row r="72" spans="1:31" hidden="1" x14ac:dyDescent="0.3">
      <c r="AA72" s="192"/>
      <c r="AB72" s="192"/>
      <c r="AC72" s="192"/>
      <c r="AD72" s="192"/>
      <c r="AE72" s="192"/>
    </row>
    <row r="73" spans="1:31" hidden="1" x14ac:dyDescent="0.3">
      <c r="A73" s="231" t="s">
        <v>287</v>
      </c>
      <c r="B73" s="231" t="s">
        <v>288</v>
      </c>
      <c r="C73" s="210">
        <v>500000</v>
      </c>
      <c r="D73" s="210"/>
      <c r="E73" s="210">
        <v>1300000</v>
      </c>
      <c r="F73" s="210"/>
      <c r="G73" s="210">
        <v>1300000</v>
      </c>
      <c r="H73" s="210"/>
      <c r="I73" s="210">
        <v>1300000</v>
      </c>
      <c r="J73" s="210"/>
      <c r="K73" s="210">
        <v>1300000</v>
      </c>
      <c r="L73" s="210"/>
      <c r="M73" s="210">
        <v>1300000</v>
      </c>
      <c r="N73" s="210"/>
      <c r="O73" s="210">
        <v>1300000</v>
      </c>
      <c r="P73" s="210"/>
      <c r="Q73" s="210">
        <v>1300000</v>
      </c>
      <c r="R73" s="210"/>
      <c r="S73" s="210">
        <v>1300000</v>
      </c>
      <c r="T73" s="210"/>
      <c r="U73" s="210">
        <v>800000</v>
      </c>
      <c r="V73" s="210"/>
      <c r="W73" s="210">
        <v>800000</v>
      </c>
      <c r="X73" s="210"/>
      <c r="Y73" s="210">
        <v>800000</v>
      </c>
      <c r="Z73" s="210"/>
      <c r="AA73" s="291">
        <f>SUM(C73:Y73)</f>
        <v>13300000</v>
      </c>
      <c r="AB73" s="211"/>
      <c r="AC73" s="192"/>
      <c r="AD73" s="192"/>
      <c r="AE73" s="192"/>
    </row>
    <row r="74" spans="1:31" hidden="1" x14ac:dyDescent="0.3">
      <c r="A74" s="231" t="s">
        <v>289</v>
      </c>
      <c r="B74" s="231" t="s">
        <v>288</v>
      </c>
      <c r="C74" s="210">
        <v>800000</v>
      </c>
      <c r="D74" s="210"/>
      <c r="E74" s="210">
        <v>800000</v>
      </c>
      <c r="F74" s="210"/>
      <c r="G74" s="210">
        <v>1500000</v>
      </c>
      <c r="H74" s="210"/>
      <c r="I74" s="210">
        <v>1500000</v>
      </c>
      <c r="J74" s="210"/>
      <c r="K74" s="210">
        <v>2500000</v>
      </c>
      <c r="L74" s="210"/>
      <c r="M74" s="210">
        <v>2700000</v>
      </c>
      <c r="N74" s="210"/>
      <c r="O74" s="210">
        <v>2500000</v>
      </c>
      <c r="P74" s="210"/>
      <c r="Q74" s="210">
        <v>1500000</v>
      </c>
      <c r="R74" s="210"/>
      <c r="S74" s="210">
        <v>0</v>
      </c>
      <c r="T74" s="210"/>
      <c r="U74" s="210">
        <v>0</v>
      </c>
      <c r="V74" s="210"/>
      <c r="W74" s="210">
        <v>0</v>
      </c>
      <c r="X74" s="210"/>
      <c r="Y74" s="210">
        <v>0</v>
      </c>
      <c r="Z74" s="210"/>
      <c r="AA74" s="291">
        <f>SUM(C74:Y74)</f>
        <v>13800000</v>
      </c>
      <c r="AB74" s="211"/>
      <c r="AC74" s="192"/>
      <c r="AD74" s="192"/>
      <c r="AE74" s="192"/>
    </row>
    <row r="75" spans="1:31" hidden="1" x14ac:dyDescent="0.3">
      <c r="A75" s="231" t="s">
        <v>290</v>
      </c>
      <c r="B75" s="231" t="s">
        <v>288</v>
      </c>
      <c r="C75" s="210"/>
      <c r="D75" s="210"/>
      <c r="E75" s="210">
        <v>4800000</v>
      </c>
      <c r="F75" s="210"/>
      <c r="G75" s="210">
        <v>4800000</v>
      </c>
      <c r="H75" s="210"/>
      <c r="I75" s="210">
        <v>4800000</v>
      </c>
      <c r="J75" s="210"/>
      <c r="K75" s="210">
        <v>4800000</v>
      </c>
      <c r="L75" s="210"/>
      <c r="M75" s="210">
        <v>4800000</v>
      </c>
      <c r="N75" s="210"/>
      <c r="O75" s="210">
        <v>4800000</v>
      </c>
      <c r="P75" s="210"/>
      <c r="Q75" s="210">
        <v>4800000</v>
      </c>
      <c r="R75" s="210"/>
      <c r="S75" s="210">
        <v>4800000</v>
      </c>
      <c r="T75" s="210"/>
      <c r="U75" s="210"/>
      <c r="V75" s="210"/>
      <c r="W75" s="210"/>
      <c r="X75" s="210"/>
      <c r="Y75" s="210"/>
      <c r="Z75" s="210"/>
      <c r="AA75" s="291">
        <f>SUM(C75:Y75)</f>
        <v>38400000</v>
      </c>
      <c r="AB75" s="211"/>
      <c r="AC75" s="192"/>
      <c r="AD75" s="192"/>
      <c r="AE75" s="192"/>
    </row>
    <row r="76" spans="1:31" hidden="1" x14ac:dyDescent="0.3">
      <c r="A76" s="231" t="s">
        <v>291</v>
      </c>
      <c r="B76" s="231" t="s">
        <v>288</v>
      </c>
      <c r="C76" s="210"/>
      <c r="D76" s="210"/>
      <c r="E76" s="210">
        <v>250000</v>
      </c>
      <c r="F76" s="210"/>
      <c r="G76" s="210"/>
      <c r="H76" s="210"/>
      <c r="I76" s="210">
        <v>250000</v>
      </c>
      <c r="J76" s="210"/>
      <c r="K76" s="210"/>
      <c r="L76" s="210"/>
      <c r="M76" s="210">
        <v>250000</v>
      </c>
      <c r="N76" s="210"/>
      <c r="O76" s="210"/>
      <c r="P76" s="210"/>
      <c r="Q76" s="210">
        <v>250000</v>
      </c>
      <c r="R76" s="210"/>
      <c r="S76" s="210"/>
      <c r="T76" s="210"/>
      <c r="U76" s="210"/>
      <c r="V76" s="210"/>
      <c r="W76" s="210"/>
      <c r="X76" s="210"/>
      <c r="Y76" s="210"/>
      <c r="Z76" s="210"/>
      <c r="AA76" s="291">
        <f>SUM(C76:Y76)</f>
        <v>1000000</v>
      </c>
      <c r="AB76" s="211"/>
      <c r="AC76" s="192"/>
      <c r="AD76" s="192"/>
      <c r="AE76" s="192"/>
    </row>
    <row r="77" spans="1:31" hidden="1" x14ac:dyDescent="0.3">
      <c r="A77" s="173" t="s">
        <v>277</v>
      </c>
      <c r="AA77" s="192"/>
      <c r="AB77" s="192"/>
      <c r="AC77" s="192"/>
      <c r="AD77" s="192"/>
      <c r="AE77" s="192"/>
    </row>
    <row r="78" spans="1:31" hidden="1" x14ac:dyDescent="0.3">
      <c r="A78" s="231" t="s">
        <v>287</v>
      </c>
      <c r="B78" s="231" t="s">
        <v>292</v>
      </c>
      <c r="C78" s="279">
        <v>5</v>
      </c>
      <c r="D78" s="279"/>
      <c r="E78" s="279">
        <v>5</v>
      </c>
      <c r="F78" s="279"/>
      <c r="G78" s="279">
        <v>5</v>
      </c>
      <c r="H78" s="279"/>
      <c r="I78" s="279">
        <v>5</v>
      </c>
      <c r="J78" s="279"/>
      <c r="K78" s="279">
        <v>5</v>
      </c>
      <c r="L78" s="279"/>
      <c r="M78" s="279">
        <v>5</v>
      </c>
      <c r="N78" s="279"/>
      <c r="O78" s="279">
        <v>5</v>
      </c>
      <c r="P78" s="279"/>
      <c r="Q78" s="279">
        <v>5</v>
      </c>
      <c r="R78" s="279"/>
      <c r="S78" s="279">
        <v>5</v>
      </c>
      <c r="T78" s="279"/>
      <c r="U78" s="279">
        <v>5</v>
      </c>
      <c r="V78" s="279"/>
      <c r="W78" s="279">
        <v>5</v>
      </c>
      <c r="X78" s="279"/>
      <c r="Y78" s="279">
        <v>5</v>
      </c>
      <c r="Z78" s="279"/>
      <c r="AA78" s="292"/>
      <c r="AB78" s="211"/>
      <c r="AC78" s="192"/>
      <c r="AD78" s="192"/>
      <c r="AE78" s="192"/>
    </row>
    <row r="79" spans="1:31" hidden="1" x14ac:dyDescent="0.3">
      <c r="A79" s="231" t="s">
        <v>289</v>
      </c>
      <c r="B79" s="231" t="s">
        <v>292</v>
      </c>
      <c r="C79" s="279">
        <v>6</v>
      </c>
      <c r="D79" s="279"/>
      <c r="E79" s="279">
        <v>6</v>
      </c>
      <c r="F79" s="279"/>
      <c r="G79" s="279">
        <v>6</v>
      </c>
      <c r="H79" s="279"/>
      <c r="I79" s="279">
        <v>6</v>
      </c>
      <c r="J79" s="279"/>
      <c r="K79" s="279">
        <v>6</v>
      </c>
      <c r="L79" s="279"/>
      <c r="M79" s="279">
        <v>6</v>
      </c>
      <c r="N79" s="279"/>
      <c r="O79" s="279">
        <v>6</v>
      </c>
      <c r="P79" s="279"/>
      <c r="Q79" s="279">
        <v>6</v>
      </c>
      <c r="R79" s="279"/>
      <c r="S79" s="279"/>
      <c r="T79" s="279"/>
      <c r="U79" s="279"/>
      <c r="V79" s="279"/>
      <c r="W79" s="279"/>
      <c r="X79" s="279"/>
      <c r="Y79" s="279"/>
      <c r="Z79" s="279"/>
      <c r="AA79" s="292"/>
      <c r="AB79" s="211"/>
      <c r="AC79" s="192"/>
      <c r="AD79" s="192"/>
      <c r="AE79" s="192"/>
    </row>
    <row r="80" spans="1:31" hidden="1" x14ac:dyDescent="0.3">
      <c r="A80" s="231" t="s">
        <v>290</v>
      </c>
      <c r="B80" s="231" t="s">
        <v>292</v>
      </c>
      <c r="C80" s="279">
        <v>5</v>
      </c>
      <c r="D80" s="279"/>
      <c r="E80" s="279">
        <v>5</v>
      </c>
      <c r="F80" s="279"/>
      <c r="G80" s="279">
        <v>5</v>
      </c>
      <c r="H80" s="279"/>
      <c r="I80" s="279">
        <v>5</v>
      </c>
      <c r="J80" s="279"/>
      <c r="K80" s="279">
        <v>5</v>
      </c>
      <c r="L80" s="279"/>
      <c r="M80" s="279">
        <v>5</v>
      </c>
      <c r="N80" s="279"/>
      <c r="O80" s="279">
        <v>5</v>
      </c>
      <c r="P80" s="279"/>
      <c r="Q80" s="279">
        <v>5</v>
      </c>
      <c r="R80" s="279"/>
      <c r="S80" s="279">
        <v>5</v>
      </c>
      <c r="T80" s="279"/>
      <c r="U80" s="279"/>
      <c r="V80" s="279"/>
      <c r="W80" s="279"/>
      <c r="X80" s="279"/>
      <c r="Y80" s="279"/>
      <c r="Z80" s="279"/>
      <c r="AA80" s="292"/>
      <c r="AB80" s="211"/>
      <c r="AC80" s="192"/>
      <c r="AD80" s="192"/>
      <c r="AE80" s="192"/>
    </row>
    <row r="81" spans="1:31" hidden="1" x14ac:dyDescent="0.3">
      <c r="A81" s="231" t="s">
        <v>291</v>
      </c>
      <c r="B81" s="231" t="s">
        <v>292</v>
      </c>
      <c r="C81" s="279">
        <v>5.4</v>
      </c>
      <c r="D81" s="279"/>
      <c r="E81" s="279">
        <v>5.4</v>
      </c>
      <c r="F81" s="279"/>
      <c r="G81" s="279">
        <v>5.4</v>
      </c>
      <c r="H81" s="279"/>
      <c r="I81" s="279">
        <v>5.4</v>
      </c>
      <c r="J81" s="279"/>
      <c r="K81" s="279">
        <v>5.4</v>
      </c>
      <c r="L81" s="279"/>
      <c r="M81" s="279">
        <v>5.4</v>
      </c>
      <c r="N81" s="279"/>
      <c r="O81" s="279">
        <v>5.4</v>
      </c>
      <c r="P81" s="279"/>
      <c r="Q81" s="279">
        <v>5.4</v>
      </c>
      <c r="R81" s="279"/>
      <c r="S81" s="279"/>
      <c r="T81" s="279"/>
      <c r="U81" s="279"/>
      <c r="V81" s="279"/>
      <c r="W81" s="279"/>
      <c r="X81" s="279"/>
      <c r="Y81" s="279"/>
      <c r="Z81" s="279"/>
      <c r="AA81" s="292"/>
      <c r="AB81" s="211"/>
      <c r="AC81" s="192"/>
      <c r="AD81" s="192"/>
      <c r="AE81" s="192"/>
    </row>
    <row r="82" spans="1:31" hidden="1" x14ac:dyDescent="0.3">
      <c r="AA82" s="192"/>
      <c r="AB82" s="192"/>
      <c r="AC82" s="192"/>
      <c r="AD82" s="192"/>
      <c r="AE82" s="192"/>
    </row>
    <row r="83" spans="1:31" hidden="1" x14ac:dyDescent="0.3">
      <c r="A83" s="287" t="s">
        <v>293</v>
      </c>
      <c r="AA83" s="192"/>
      <c r="AB83" s="192"/>
      <c r="AC83" s="192"/>
      <c r="AD83" s="192"/>
      <c r="AE83" s="192"/>
    </row>
    <row r="84" spans="1:31" hidden="1" x14ac:dyDescent="0.3">
      <c r="AA84" s="192"/>
      <c r="AB84" s="192"/>
      <c r="AC84" s="192"/>
      <c r="AD84" s="192"/>
      <c r="AE84" s="192"/>
    </row>
    <row r="85" spans="1:31" hidden="1" x14ac:dyDescent="0.3">
      <c r="A85" s="231" t="s">
        <v>287</v>
      </c>
      <c r="B85" s="231" t="s">
        <v>250</v>
      </c>
      <c r="C85" s="210">
        <v>0</v>
      </c>
      <c r="D85" s="210"/>
      <c r="E85" s="210">
        <v>0</v>
      </c>
      <c r="F85" s="210"/>
      <c r="G85" s="210">
        <v>0</v>
      </c>
      <c r="H85" s="210"/>
      <c r="I85" s="210">
        <v>300000</v>
      </c>
      <c r="J85" s="210"/>
      <c r="K85" s="210">
        <v>500000</v>
      </c>
      <c r="L85" s="210"/>
      <c r="M85" s="210">
        <v>500000</v>
      </c>
      <c r="N85" s="210"/>
      <c r="O85" s="210">
        <v>800000</v>
      </c>
      <c r="P85" s="210"/>
      <c r="Q85" s="210">
        <v>1500000</v>
      </c>
      <c r="R85" s="210"/>
      <c r="S85" s="210">
        <v>1000000</v>
      </c>
      <c r="T85" s="210"/>
      <c r="U85" s="210">
        <v>0</v>
      </c>
      <c r="V85" s="210"/>
      <c r="W85" s="210">
        <v>0</v>
      </c>
      <c r="X85" s="210"/>
      <c r="Y85" s="210">
        <v>0</v>
      </c>
      <c r="Z85" s="210"/>
      <c r="AA85" s="291">
        <f>SUM(C85:Y85)</f>
        <v>4600000</v>
      </c>
      <c r="AB85" s="211"/>
      <c r="AC85" s="192"/>
      <c r="AD85" s="192"/>
      <c r="AE85" s="192"/>
    </row>
    <row r="86" spans="1:31" hidden="1" x14ac:dyDescent="0.3">
      <c r="A86" s="231" t="s">
        <v>289</v>
      </c>
      <c r="B86" s="231" t="s">
        <v>250</v>
      </c>
      <c r="C86" s="210">
        <v>0</v>
      </c>
      <c r="D86" s="210"/>
      <c r="E86" s="210">
        <v>800000</v>
      </c>
      <c r="F86" s="210"/>
      <c r="G86" s="210">
        <v>1800000</v>
      </c>
      <c r="H86" s="210"/>
      <c r="I86" s="210">
        <v>2500000</v>
      </c>
      <c r="J86" s="210"/>
      <c r="K86" s="210">
        <v>2500000</v>
      </c>
      <c r="L86" s="210"/>
      <c r="M86" s="210">
        <v>2700000</v>
      </c>
      <c r="N86" s="210"/>
      <c r="O86" s="210">
        <v>2500000</v>
      </c>
      <c r="P86" s="210"/>
      <c r="Q86" s="210">
        <v>1000000</v>
      </c>
      <c r="R86" s="210"/>
      <c r="S86" s="210">
        <v>0</v>
      </c>
      <c r="T86" s="210"/>
      <c r="U86" s="210">
        <v>0</v>
      </c>
      <c r="V86" s="210"/>
      <c r="W86" s="210">
        <v>0</v>
      </c>
      <c r="X86" s="210"/>
      <c r="Y86" s="210">
        <v>0</v>
      </c>
      <c r="Z86" s="210"/>
      <c r="AA86" s="291">
        <f>SUM(C86:Y86)</f>
        <v>13800000</v>
      </c>
      <c r="AB86" s="211"/>
      <c r="AC86" s="192"/>
      <c r="AD86" s="192"/>
      <c r="AE86" s="192"/>
    </row>
    <row r="87" spans="1:31" hidden="1" x14ac:dyDescent="0.3">
      <c r="A87" s="231" t="s">
        <v>294</v>
      </c>
      <c r="B87" s="231" t="s">
        <v>250</v>
      </c>
      <c r="C87" s="210">
        <v>2000000</v>
      </c>
      <c r="D87" s="210"/>
      <c r="E87" s="210">
        <v>2000000</v>
      </c>
      <c r="F87" s="210"/>
      <c r="G87" s="210">
        <v>2000000</v>
      </c>
      <c r="H87" s="210"/>
      <c r="I87" s="210">
        <v>3000000</v>
      </c>
      <c r="J87" s="210"/>
      <c r="K87" s="210">
        <v>3000000</v>
      </c>
      <c r="L87" s="210"/>
      <c r="M87" s="210">
        <v>4000000</v>
      </c>
      <c r="N87" s="210"/>
      <c r="O87" s="210">
        <v>4000000</v>
      </c>
      <c r="P87" s="210"/>
      <c r="Q87" s="210">
        <v>4500000</v>
      </c>
      <c r="R87" s="210"/>
      <c r="S87" s="210">
        <v>2000000</v>
      </c>
      <c r="T87" s="210"/>
      <c r="U87" s="210">
        <v>4000000</v>
      </c>
      <c r="V87" s="210"/>
      <c r="W87" s="210">
        <v>3500000</v>
      </c>
      <c r="X87" s="210"/>
      <c r="Y87" s="210">
        <v>2000000</v>
      </c>
      <c r="Z87" s="210"/>
      <c r="AA87" s="291">
        <f>SUM(C87:Y87)</f>
        <v>36000000</v>
      </c>
      <c r="AB87" s="211"/>
      <c r="AC87" s="192"/>
      <c r="AD87" s="192"/>
      <c r="AE87" s="192"/>
    </row>
    <row r="88" spans="1:31" hidden="1" x14ac:dyDescent="0.3">
      <c r="A88" s="231" t="s">
        <v>291</v>
      </c>
      <c r="B88" s="231" t="s">
        <v>250</v>
      </c>
      <c r="C88" s="210">
        <v>0</v>
      </c>
      <c r="D88" s="210"/>
      <c r="E88" s="210">
        <v>100000</v>
      </c>
      <c r="F88" s="210"/>
      <c r="G88" s="210">
        <v>100000</v>
      </c>
      <c r="H88" s="210"/>
      <c r="I88" s="210">
        <v>100000</v>
      </c>
      <c r="J88" s="210"/>
      <c r="K88" s="210">
        <v>100000</v>
      </c>
      <c r="L88" s="210"/>
      <c r="M88" s="210">
        <v>100000</v>
      </c>
      <c r="N88" s="210"/>
      <c r="O88" s="210">
        <v>100000</v>
      </c>
      <c r="P88" s="210"/>
      <c r="Q88" s="210">
        <v>50000</v>
      </c>
      <c r="R88" s="210"/>
      <c r="S88" s="210">
        <v>50000</v>
      </c>
      <c r="T88" s="210"/>
      <c r="U88" s="210">
        <v>100000</v>
      </c>
      <c r="V88" s="210"/>
      <c r="W88" s="210">
        <v>100000</v>
      </c>
      <c r="X88" s="210"/>
      <c r="Y88" s="210">
        <v>100000</v>
      </c>
      <c r="Z88" s="210"/>
      <c r="AA88" s="291">
        <f>SUM(C88:Y88)</f>
        <v>1000000</v>
      </c>
      <c r="AB88" s="211"/>
      <c r="AC88" s="192"/>
      <c r="AD88" s="192"/>
      <c r="AE88" s="192"/>
    </row>
    <row r="89" spans="1:31" hidden="1" x14ac:dyDescent="0.3">
      <c r="A89" s="231" t="s">
        <v>295</v>
      </c>
      <c r="B89" s="231" t="s">
        <v>250</v>
      </c>
      <c r="C89" s="210">
        <v>0</v>
      </c>
      <c r="D89" s="210"/>
      <c r="E89" s="210">
        <v>0</v>
      </c>
      <c r="F89" s="210"/>
      <c r="G89" s="210">
        <v>0</v>
      </c>
      <c r="H89" s="210"/>
      <c r="I89" s="210">
        <v>0</v>
      </c>
      <c r="J89" s="210"/>
      <c r="K89" s="210">
        <v>0</v>
      </c>
      <c r="L89" s="210"/>
      <c r="M89" s="210">
        <v>50000</v>
      </c>
      <c r="N89" s="210"/>
      <c r="O89" s="210">
        <v>130000</v>
      </c>
      <c r="P89" s="210"/>
      <c r="Q89" s="210">
        <v>400000</v>
      </c>
      <c r="R89" s="210"/>
      <c r="S89" s="210">
        <v>300000</v>
      </c>
      <c r="T89" s="210"/>
      <c r="U89" s="210">
        <v>200000</v>
      </c>
      <c r="V89" s="210"/>
      <c r="W89" s="210">
        <v>50000</v>
      </c>
      <c r="X89" s="210"/>
      <c r="Y89" s="210">
        <v>50000</v>
      </c>
      <c r="Z89" s="210"/>
      <c r="AA89" s="291">
        <f>SUM(C89:Y89)</f>
        <v>1180000</v>
      </c>
      <c r="AB89" s="211"/>
      <c r="AC89" s="192"/>
      <c r="AD89" s="192"/>
      <c r="AE89" s="192"/>
    </row>
    <row r="90" spans="1:31" hidden="1" x14ac:dyDescent="0.3">
      <c r="A90" s="173" t="s">
        <v>277</v>
      </c>
      <c r="AA90" s="192"/>
      <c r="AB90" s="192"/>
      <c r="AC90" s="192"/>
      <c r="AD90" s="192"/>
      <c r="AE90" s="192"/>
    </row>
    <row r="91" spans="1:31" hidden="1" x14ac:dyDescent="0.3">
      <c r="A91" s="231" t="s">
        <v>287</v>
      </c>
      <c r="B91" s="231" t="s">
        <v>292</v>
      </c>
      <c r="C91" s="279">
        <v>0</v>
      </c>
      <c r="D91" s="279"/>
      <c r="E91" s="279">
        <v>0</v>
      </c>
      <c r="F91" s="279"/>
      <c r="G91" s="279">
        <v>0</v>
      </c>
      <c r="H91" s="279"/>
      <c r="I91" s="279">
        <v>110</v>
      </c>
      <c r="J91" s="279"/>
      <c r="K91" s="279">
        <v>110</v>
      </c>
      <c r="L91" s="279"/>
      <c r="M91" s="279">
        <v>110</v>
      </c>
      <c r="N91" s="279"/>
      <c r="O91" s="279">
        <v>110</v>
      </c>
      <c r="P91" s="279"/>
      <c r="Q91" s="279">
        <v>110</v>
      </c>
      <c r="R91" s="279"/>
      <c r="S91" s="279">
        <v>110</v>
      </c>
      <c r="T91" s="279"/>
      <c r="U91" s="279">
        <v>0</v>
      </c>
      <c r="V91" s="279"/>
      <c r="W91" s="279">
        <v>0</v>
      </c>
      <c r="X91" s="279"/>
      <c r="Y91" s="279">
        <v>0</v>
      </c>
      <c r="Z91" s="279"/>
      <c r="AA91" s="292"/>
      <c r="AB91" s="211"/>
      <c r="AC91" s="192"/>
      <c r="AD91" s="192"/>
      <c r="AE91" s="192"/>
    </row>
    <row r="92" spans="1:31" hidden="1" x14ac:dyDescent="0.3">
      <c r="A92" s="231" t="s">
        <v>289</v>
      </c>
      <c r="B92" s="231" t="s">
        <v>292</v>
      </c>
      <c r="C92" s="279">
        <v>0</v>
      </c>
      <c r="D92" s="279"/>
      <c r="E92" s="279">
        <v>120</v>
      </c>
      <c r="F92" s="279"/>
      <c r="G92" s="279">
        <v>120</v>
      </c>
      <c r="H92" s="279"/>
      <c r="I92" s="279">
        <v>120</v>
      </c>
      <c r="J92" s="279"/>
      <c r="K92" s="279">
        <v>120</v>
      </c>
      <c r="L92" s="279"/>
      <c r="M92" s="279">
        <v>120</v>
      </c>
      <c r="N92" s="279"/>
      <c r="O92" s="279">
        <v>120</v>
      </c>
      <c r="P92" s="279"/>
      <c r="Q92" s="279">
        <v>120</v>
      </c>
      <c r="R92" s="279"/>
      <c r="S92" s="279">
        <v>0</v>
      </c>
      <c r="T92" s="279"/>
      <c r="U92" s="279">
        <v>0</v>
      </c>
      <c r="V92" s="279"/>
      <c r="W92" s="279">
        <v>0</v>
      </c>
      <c r="X92" s="279"/>
      <c r="Y92" s="279">
        <v>0</v>
      </c>
      <c r="Z92" s="279"/>
      <c r="AA92" s="292"/>
      <c r="AB92" s="211"/>
      <c r="AC92" s="192"/>
      <c r="AD92" s="192"/>
      <c r="AE92" s="192"/>
    </row>
    <row r="93" spans="1:31" hidden="1" x14ac:dyDescent="0.3">
      <c r="A93" s="231" t="s">
        <v>294</v>
      </c>
      <c r="B93" s="231" t="s">
        <v>292</v>
      </c>
      <c r="C93" s="279">
        <v>55</v>
      </c>
      <c r="D93" s="279"/>
      <c r="E93" s="279">
        <v>55</v>
      </c>
      <c r="F93" s="279"/>
      <c r="G93" s="279">
        <v>55</v>
      </c>
      <c r="H93" s="279"/>
      <c r="I93" s="279">
        <v>62</v>
      </c>
      <c r="J93" s="279"/>
      <c r="K93" s="279">
        <v>62</v>
      </c>
      <c r="L93" s="279"/>
      <c r="M93" s="279">
        <v>62</v>
      </c>
      <c r="N93" s="279"/>
      <c r="O93" s="279">
        <v>62</v>
      </c>
      <c r="P93" s="279"/>
      <c r="Q93" s="279">
        <v>62</v>
      </c>
      <c r="R93" s="279"/>
      <c r="S93" s="279">
        <v>62</v>
      </c>
      <c r="T93" s="279"/>
      <c r="U93" s="279">
        <v>62</v>
      </c>
      <c r="V93" s="279"/>
      <c r="W93" s="279">
        <v>62</v>
      </c>
      <c r="X93" s="279"/>
      <c r="Y93" s="279">
        <v>62</v>
      </c>
      <c r="Z93" s="279"/>
      <c r="AA93" s="292"/>
      <c r="AB93" s="211"/>
      <c r="AC93" s="192"/>
      <c r="AD93" s="192"/>
      <c r="AE93" s="192"/>
    </row>
    <row r="94" spans="1:31" hidden="1" x14ac:dyDescent="0.3">
      <c r="A94" s="231" t="s">
        <v>291</v>
      </c>
      <c r="B94" s="231" t="s">
        <v>292</v>
      </c>
      <c r="C94" s="279">
        <v>0</v>
      </c>
      <c r="D94" s="279"/>
      <c r="E94" s="279">
        <v>60</v>
      </c>
      <c r="F94" s="279"/>
      <c r="G94" s="279">
        <v>60</v>
      </c>
      <c r="H94" s="279"/>
      <c r="I94" s="279">
        <v>60</v>
      </c>
      <c r="J94" s="279"/>
      <c r="K94" s="279">
        <v>60</v>
      </c>
      <c r="L94" s="279"/>
      <c r="M94" s="279">
        <v>60</v>
      </c>
      <c r="N94" s="279"/>
      <c r="O94" s="279">
        <v>60</v>
      </c>
      <c r="P94" s="279"/>
      <c r="Q94" s="279">
        <v>60</v>
      </c>
      <c r="R94" s="279"/>
      <c r="S94" s="279">
        <v>60</v>
      </c>
      <c r="T94" s="279"/>
      <c r="U94" s="279">
        <v>60</v>
      </c>
      <c r="V94" s="279"/>
      <c r="W94" s="279">
        <v>60</v>
      </c>
      <c r="X94" s="279"/>
      <c r="Y94" s="279">
        <v>60</v>
      </c>
      <c r="Z94" s="279"/>
      <c r="AA94" s="292"/>
      <c r="AB94" s="211"/>
      <c r="AC94" s="192"/>
      <c r="AD94" s="192"/>
      <c r="AE94" s="192"/>
    </row>
    <row r="95" spans="1:31" hidden="1" x14ac:dyDescent="0.3">
      <c r="A95" s="231" t="s">
        <v>295</v>
      </c>
      <c r="B95" s="231" t="s">
        <v>292</v>
      </c>
      <c r="C95" s="279">
        <v>0</v>
      </c>
      <c r="D95" s="279"/>
      <c r="E95" s="279">
        <v>0</v>
      </c>
      <c r="F95" s="279"/>
      <c r="G95" s="279">
        <v>0</v>
      </c>
      <c r="H95" s="279"/>
      <c r="I95" s="279">
        <v>0</v>
      </c>
      <c r="J95" s="279"/>
      <c r="K95" s="279">
        <v>0</v>
      </c>
      <c r="L95" s="279"/>
      <c r="M95" s="279">
        <v>310</v>
      </c>
      <c r="N95" s="279"/>
      <c r="O95" s="279">
        <v>310</v>
      </c>
      <c r="P95" s="279"/>
      <c r="Q95" s="279">
        <v>310</v>
      </c>
      <c r="R95" s="279"/>
      <c r="S95" s="279">
        <v>310</v>
      </c>
      <c r="T95" s="279"/>
      <c r="U95" s="279">
        <v>310</v>
      </c>
      <c r="V95" s="279"/>
      <c r="W95" s="279">
        <v>310</v>
      </c>
      <c r="X95" s="279"/>
      <c r="Y95" s="279">
        <v>310</v>
      </c>
      <c r="Z95" s="279"/>
      <c r="AA95" s="292"/>
      <c r="AB95" s="211"/>
      <c r="AC95" s="192"/>
      <c r="AD95" s="192"/>
      <c r="AE95" s="192"/>
    </row>
    <row r="96" spans="1:31" x14ac:dyDescent="0.3">
      <c r="AA96" s="192"/>
      <c r="AB96" s="192"/>
      <c r="AC96" s="192"/>
      <c r="AD96" s="192"/>
      <c r="AE96" s="192"/>
    </row>
    <row r="97" spans="1:35" hidden="1" x14ac:dyDescent="0.3">
      <c r="A97" s="287" t="s">
        <v>296</v>
      </c>
      <c r="B97" s="293"/>
      <c r="AA97" s="192"/>
      <c r="AB97" s="192"/>
      <c r="AC97" s="192"/>
      <c r="AD97" s="192"/>
      <c r="AE97" s="192"/>
    </row>
    <row r="98" spans="1:35" hidden="1" x14ac:dyDescent="0.3">
      <c r="AA98" s="192"/>
      <c r="AB98" s="192"/>
      <c r="AC98" s="192"/>
      <c r="AD98" s="192"/>
      <c r="AE98" s="192"/>
    </row>
    <row r="99" spans="1:35" hidden="1" x14ac:dyDescent="0.3">
      <c r="A99" s="231" t="s">
        <v>297</v>
      </c>
      <c r="B99" s="231" t="s">
        <v>298</v>
      </c>
      <c r="C99" s="210">
        <f t="shared" ref="C99:Y99" si="72">(C41*C58+C43*C59)</f>
        <v>21945000</v>
      </c>
      <c r="D99" s="210"/>
      <c r="E99" s="210">
        <f t="shared" si="72"/>
        <v>40575000</v>
      </c>
      <c r="F99" s="210"/>
      <c r="G99" s="210">
        <f t="shared" si="72"/>
        <v>42501000</v>
      </c>
      <c r="H99" s="210"/>
      <c r="I99" s="210">
        <f t="shared" si="72"/>
        <v>40575000</v>
      </c>
      <c r="J99" s="210"/>
      <c r="K99" s="210">
        <f t="shared" si="72"/>
        <v>32285700</v>
      </c>
      <c r="L99" s="210"/>
      <c r="M99" s="210">
        <f t="shared" si="72"/>
        <v>26877200</v>
      </c>
      <c r="N99" s="210"/>
      <c r="O99" s="210">
        <f t="shared" si="72"/>
        <v>47574800</v>
      </c>
      <c r="P99" s="210"/>
      <c r="Q99" s="210">
        <f t="shared" si="72"/>
        <v>37360700</v>
      </c>
      <c r="R99" s="210"/>
      <c r="S99" s="210">
        <f t="shared" si="72"/>
        <v>37360700</v>
      </c>
      <c r="T99" s="210"/>
      <c r="U99" s="210">
        <f t="shared" si="72"/>
        <v>29290000</v>
      </c>
      <c r="V99" s="210"/>
      <c r="W99" s="210">
        <f t="shared" si="72"/>
        <v>30300000.000000004</v>
      </c>
      <c r="X99" s="210"/>
      <c r="Y99" s="210">
        <f t="shared" si="72"/>
        <v>59780000</v>
      </c>
      <c r="Z99" s="210"/>
      <c r="AA99" s="291">
        <f>SUM(C99:Y99)</f>
        <v>446425100</v>
      </c>
      <c r="AB99" s="192"/>
      <c r="AC99" s="192"/>
      <c r="AD99" s="192"/>
      <c r="AE99" s="192"/>
    </row>
    <row r="100" spans="1:35" hidden="1" x14ac:dyDescent="0.3">
      <c r="A100" s="231" t="s">
        <v>299</v>
      </c>
      <c r="B100" s="231" t="s">
        <v>298</v>
      </c>
      <c r="C100" s="210">
        <f t="shared" ref="C100:W100" si="73">C51*C63</f>
        <v>0</v>
      </c>
      <c r="D100" s="210"/>
      <c r="E100" s="210">
        <f t="shared" si="73"/>
        <v>18200000</v>
      </c>
      <c r="F100" s="210"/>
      <c r="G100" s="210">
        <f t="shared" si="73"/>
        <v>18200000</v>
      </c>
      <c r="H100" s="210"/>
      <c r="I100" s="210">
        <f t="shared" si="73"/>
        <v>18200000</v>
      </c>
      <c r="J100" s="210"/>
      <c r="K100" s="210">
        <f t="shared" si="73"/>
        <v>18200000</v>
      </c>
      <c r="L100" s="210"/>
      <c r="M100" s="210">
        <f t="shared" si="73"/>
        <v>18200000</v>
      </c>
      <c r="N100" s="210"/>
      <c r="O100" s="210">
        <f t="shared" si="73"/>
        <v>18200000</v>
      </c>
      <c r="P100" s="210"/>
      <c r="Q100" s="210">
        <f t="shared" si="73"/>
        <v>0</v>
      </c>
      <c r="R100" s="210"/>
      <c r="S100" s="210">
        <f t="shared" si="73"/>
        <v>0</v>
      </c>
      <c r="T100" s="210"/>
      <c r="U100" s="210">
        <f t="shared" si="73"/>
        <v>0</v>
      </c>
      <c r="V100" s="210"/>
      <c r="W100" s="210">
        <f t="shared" si="73"/>
        <v>1204207.2</v>
      </c>
      <c r="X100" s="210"/>
      <c r="Y100" s="210">
        <f>AA51*Y63</f>
        <v>110781160</v>
      </c>
      <c r="Z100" s="210"/>
      <c r="AA100" s="291">
        <f>SUM(C100:Y100)</f>
        <v>221185367.19999999</v>
      </c>
      <c r="AB100" s="192"/>
      <c r="AC100" s="192"/>
      <c r="AD100" s="192"/>
      <c r="AE100" s="192"/>
    </row>
    <row r="101" spans="1:35" hidden="1" x14ac:dyDescent="0.3">
      <c r="A101" s="231" t="s">
        <v>300</v>
      </c>
      <c r="B101" s="231" t="s">
        <v>298</v>
      </c>
      <c r="C101" s="210">
        <f>C68*C69</f>
        <v>108000</v>
      </c>
      <c r="D101" s="210"/>
      <c r="E101" s="210">
        <f t="shared" ref="E101:Y101" si="74">E68*E69</f>
        <v>186000</v>
      </c>
      <c r="F101" s="210"/>
      <c r="G101" s="210">
        <f t="shared" si="74"/>
        <v>180000</v>
      </c>
      <c r="H101" s="210"/>
      <c r="I101" s="210">
        <f t="shared" si="74"/>
        <v>186000</v>
      </c>
      <c r="J101" s="210"/>
      <c r="K101" s="210">
        <f t="shared" si="74"/>
        <v>186000</v>
      </c>
      <c r="L101" s="210"/>
      <c r="M101" s="210">
        <f t="shared" si="74"/>
        <v>180000</v>
      </c>
      <c r="N101" s="210"/>
      <c r="O101" s="210">
        <f t="shared" si="74"/>
        <v>186000</v>
      </c>
      <c r="P101" s="210"/>
      <c r="Q101" s="210">
        <f t="shared" si="74"/>
        <v>88000</v>
      </c>
      <c r="R101" s="210"/>
      <c r="S101" s="210">
        <f t="shared" si="74"/>
        <v>0</v>
      </c>
      <c r="T101" s="210"/>
      <c r="U101" s="210">
        <f t="shared" si="74"/>
        <v>0</v>
      </c>
      <c r="V101" s="210"/>
      <c r="W101" s="210">
        <f t="shared" si="74"/>
        <v>0</v>
      </c>
      <c r="X101" s="210"/>
      <c r="Y101" s="210">
        <f t="shared" si="74"/>
        <v>0</v>
      </c>
      <c r="Z101" s="210"/>
      <c r="AA101" s="291">
        <f>SUM(C101:Y101)</f>
        <v>1300000</v>
      </c>
      <c r="AB101" s="192"/>
      <c r="AC101" s="192"/>
      <c r="AD101" s="192"/>
      <c r="AE101" s="192"/>
    </row>
    <row r="102" spans="1:35" hidden="1" x14ac:dyDescent="0.3">
      <c r="A102" s="231" t="s">
        <v>301</v>
      </c>
      <c r="B102" s="231" t="s">
        <v>298</v>
      </c>
      <c r="C102" s="210">
        <f>(C73*C78+C74*C79+C75*C80+C76*C81)/1000</f>
        <v>7300</v>
      </c>
      <c r="D102" s="210"/>
      <c r="E102" s="210">
        <f t="shared" ref="E102:Y102" si="75">(E73*E78+E74*E79+E75*E80+E76*E81)/1000</f>
        <v>36650</v>
      </c>
      <c r="F102" s="210"/>
      <c r="G102" s="210">
        <f t="shared" si="75"/>
        <v>39500</v>
      </c>
      <c r="H102" s="210"/>
      <c r="I102" s="210">
        <f t="shared" si="75"/>
        <v>40850</v>
      </c>
      <c r="J102" s="210"/>
      <c r="K102" s="210">
        <f t="shared" si="75"/>
        <v>45500</v>
      </c>
      <c r="L102" s="210"/>
      <c r="M102" s="210">
        <f t="shared" si="75"/>
        <v>48050</v>
      </c>
      <c r="N102" s="210"/>
      <c r="O102" s="210">
        <f t="shared" si="75"/>
        <v>45500</v>
      </c>
      <c r="P102" s="210"/>
      <c r="Q102" s="210">
        <f t="shared" si="75"/>
        <v>40850</v>
      </c>
      <c r="R102" s="210"/>
      <c r="S102" s="210">
        <f t="shared" si="75"/>
        <v>30500</v>
      </c>
      <c r="T102" s="210"/>
      <c r="U102" s="210">
        <f t="shared" si="75"/>
        <v>4000</v>
      </c>
      <c r="V102" s="210"/>
      <c r="W102" s="210">
        <f t="shared" si="75"/>
        <v>4000</v>
      </c>
      <c r="X102" s="210"/>
      <c r="Y102" s="210">
        <f t="shared" si="75"/>
        <v>4000</v>
      </c>
      <c r="Z102" s="210"/>
      <c r="AA102" s="291">
        <f>SUM(C102:Y102)</f>
        <v>346700</v>
      </c>
      <c r="AB102" s="192"/>
      <c r="AC102" s="192"/>
      <c r="AD102" s="192"/>
      <c r="AE102" s="192"/>
    </row>
    <row r="103" spans="1:35" hidden="1" x14ac:dyDescent="0.3">
      <c r="A103" s="231" t="s">
        <v>302</v>
      </c>
      <c r="B103" s="231" t="s">
        <v>298</v>
      </c>
      <c r="C103" s="210">
        <f>(C85*C91+C86*C92+C88*C94+C89*C95+C87*C93)/1000</f>
        <v>110000</v>
      </c>
      <c r="D103" s="210"/>
      <c r="E103" s="210">
        <f t="shared" ref="E103:Y103" si="76">(E85*E91+E86*E92+E88*E94+E89*E95+E87*E93)/1000</f>
        <v>212000</v>
      </c>
      <c r="F103" s="210"/>
      <c r="G103" s="210">
        <f t="shared" si="76"/>
        <v>332000</v>
      </c>
      <c r="H103" s="210"/>
      <c r="I103" s="210">
        <f t="shared" si="76"/>
        <v>525000</v>
      </c>
      <c r="J103" s="210"/>
      <c r="K103" s="210">
        <f t="shared" si="76"/>
        <v>547000</v>
      </c>
      <c r="L103" s="210"/>
      <c r="M103" s="210">
        <f t="shared" si="76"/>
        <v>648500</v>
      </c>
      <c r="N103" s="210"/>
      <c r="O103" s="210">
        <f t="shared" si="76"/>
        <v>682300</v>
      </c>
      <c r="P103" s="210"/>
      <c r="Q103" s="210">
        <f t="shared" si="76"/>
        <v>691000</v>
      </c>
      <c r="R103" s="210"/>
      <c r="S103" s="210">
        <f t="shared" si="76"/>
        <v>330000</v>
      </c>
      <c r="T103" s="210"/>
      <c r="U103" s="210">
        <f t="shared" si="76"/>
        <v>316000</v>
      </c>
      <c r="V103" s="210"/>
      <c r="W103" s="210">
        <f t="shared" si="76"/>
        <v>238500</v>
      </c>
      <c r="X103" s="210"/>
      <c r="Y103" s="210">
        <f t="shared" si="76"/>
        <v>145500</v>
      </c>
      <c r="Z103" s="210"/>
      <c r="AA103" s="291">
        <f>SUM(C103:Y103)</f>
        <v>4777800</v>
      </c>
      <c r="AB103" s="192"/>
      <c r="AC103" s="192"/>
      <c r="AD103" s="192"/>
      <c r="AE103" s="192"/>
    </row>
    <row r="104" spans="1:35" hidden="1" x14ac:dyDescent="0.3">
      <c r="A104" s="73" t="s">
        <v>114</v>
      </c>
      <c r="B104" s="73" t="s">
        <v>298</v>
      </c>
      <c r="C104" s="270">
        <f>SUM(C99:C103)</f>
        <v>22170300</v>
      </c>
      <c r="D104" s="270"/>
      <c r="E104" s="270">
        <f t="shared" ref="E104:AA104" si="77">SUM(E99:E103)</f>
        <v>59209650</v>
      </c>
      <c r="F104" s="270"/>
      <c r="G104" s="270">
        <f t="shared" si="77"/>
        <v>61252500</v>
      </c>
      <c r="H104" s="270"/>
      <c r="I104" s="270">
        <f t="shared" si="77"/>
        <v>59526850</v>
      </c>
      <c r="J104" s="270"/>
      <c r="K104" s="270">
        <f t="shared" si="77"/>
        <v>51264200</v>
      </c>
      <c r="L104" s="270"/>
      <c r="M104" s="270">
        <f t="shared" si="77"/>
        <v>45953750</v>
      </c>
      <c r="N104" s="270"/>
      <c r="O104" s="270">
        <f t="shared" si="77"/>
        <v>66688600</v>
      </c>
      <c r="P104" s="270"/>
      <c r="Q104" s="270">
        <f t="shared" si="77"/>
        <v>38180550</v>
      </c>
      <c r="R104" s="270"/>
      <c r="S104" s="270">
        <f t="shared" si="77"/>
        <v>37721200</v>
      </c>
      <c r="T104" s="270"/>
      <c r="U104" s="270">
        <f t="shared" si="77"/>
        <v>29610000</v>
      </c>
      <c r="V104" s="270"/>
      <c r="W104" s="270">
        <f t="shared" si="77"/>
        <v>31746707.200000003</v>
      </c>
      <c r="X104" s="270"/>
      <c r="Y104" s="270">
        <f t="shared" si="77"/>
        <v>170710660</v>
      </c>
      <c r="Z104" s="270"/>
      <c r="AA104" s="270">
        <f t="shared" si="77"/>
        <v>674034967.20000005</v>
      </c>
      <c r="AB104" s="192"/>
      <c r="AC104" s="192"/>
      <c r="AD104" s="192"/>
      <c r="AE104" s="192"/>
    </row>
    <row r="105" spans="1:35" hidden="1" x14ac:dyDescent="0.3">
      <c r="AA105" s="192"/>
      <c r="AB105" s="192"/>
      <c r="AC105" s="192"/>
      <c r="AD105" s="192"/>
      <c r="AE105" s="192"/>
    </row>
    <row r="106" spans="1:35" ht="15.6" x14ac:dyDescent="0.3">
      <c r="A106" s="195" t="s">
        <v>266</v>
      </c>
      <c r="C106" s="251">
        <f>C41</f>
        <v>50000</v>
      </c>
      <c r="D106" s="251">
        <f t="shared" ref="D106" si="78">D58*D41</f>
        <v>0</v>
      </c>
      <c r="E106" s="251">
        <f t="shared" ref="E106:Y106" si="79">E41</f>
        <v>110000</v>
      </c>
      <c r="F106" s="251">
        <f t="shared" si="79"/>
        <v>0</v>
      </c>
      <c r="G106" s="251">
        <f t="shared" si="79"/>
        <v>110000</v>
      </c>
      <c r="H106" s="251">
        <f t="shared" si="79"/>
        <v>0</v>
      </c>
      <c r="I106" s="251">
        <f t="shared" si="79"/>
        <v>110000</v>
      </c>
      <c r="J106" s="251">
        <f t="shared" si="79"/>
        <v>0</v>
      </c>
      <c r="K106" s="251">
        <f t="shared" si="79"/>
        <v>75000</v>
      </c>
      <c r="L106" s="251">
        <f t="shared" si="79"/>
        <v>0</v>
      </c>
      <c r="M106" s="251">
        <f t="shared" si="79"/>
        <v>70000</v>
      </c>
      <c r="N106" s="251">
        <f t="shared" si="79"/>
        <v>0</v>
      </c>
      <c r="O106" s="251">
        <f t="shared" si="79"/>
        <v>205000</v>
      </c>
      <c r="P106" s="251">
        <f t="shared" si="79"/>
        <v>0</v>
      </c>
      <c r="Q106" s="251">
        <f t="shared" si="79"/>
        <v>110000</v>
      </c>
      <c r="R106" s="251">
        <f t="shared" si="79"/>
        <v>0</v>
      </c>
      <c r="S106" s="251">
        <f t="shared" si="79"/>
        <v>110000</v>
      </c>
      <c r="T106" s="294"/>
      <c r="U106" s="251">
        <f t="shared" si="79"/>
        <v>70000</v>
      </c>
      <c r="V106" s="251">
        <f t="shared" si="79"/>
        <v>0</v>
      </c>
      <c r="W106" s="251">
        <f t="shared" si="79"/>
        <v>70000</v>
      </c>
      <c r="X106" s="251">
        <f t="shared" si="79"/>
        <v>0</v>
      </c>
      <c r="Y106" s="251">
        <f t="shared" si="79"/>
        <v>295000</v>
      </c>
      <c r="AA106" s="295">
        <f>SUM(C106:Y106)</f>
        <v>1385000</v>
      </c>
      <c r="AB106" s="296">
        <f>AA106*AI107</f>
        <v>72677875.000000015</v>
      </c>
      <c r="AD106" s="225">
        <f>AA58*AB41</f>
        <v>0</v>
      </c>
      <c r="AE106" s="192" t="s">
        <v>138</v>
      </c>
      <c r="AF106" s="192"/>
      <c r="AH106" s="422" t="s">
        <v>45</v>
      </c>
      <c r="AI106" s="423"/>
    </row>
    <row r="107" spans="1:35" x14ac:dyDescent="0.3">
      <c r="A107" s="195" t="s">
        <v>268</v>
      </c>
      <c r="C107" s="251">
        <f>C43</f>
        <v>150000</v>
      </c>
      <c r="D107" s="251">
        <f t="shared" ref="D107:Y107" si="80">D43</f>
        <v>0</v>
      </c>
      <c r="E107" s="251">
        <f t="shared" si="80"/>
        <v>250000</v>
      </c>
      <c r="F107" s="251">
        <f t="shared" si="80"/>
        <v>0</v>
      </c>
      <c r="G107" s="251">
        <f t="shared" si="80"/>
        <v>270000</v>
      </c>
      <c r="H107" s="251">
        <f t="shared" si="80"/>
        <v>0</v>
      </c>
      <c r="I107" s="251">
        <f t="shared" si="80"/>
        <v>250000</v>
      </c>
      <c r="J107" s="251">
        <f t="shared" si="80"/>
        <v>0</v>
      </c>
      <c r="K107" s="251">
        <f t="shared" si="80"/>
        <v>230000</v>
      </c>
      <c r="L107" s="251">
        <f t="shared" si="80"/>
        <v>0</v>
      </c>
      <c r="M107" s="251">
        <f t="shared" si="80"/>
        <v>190000</v>
      </c>
      <c r="N107" s="251">
        <f t="shared" si="80"/>
        <v>0</v>
      </c>
      <c r="O107" s="251">
        <f t="shared" si="80"/>
        <v>210000</v>
      </c>
      <c r="P107" s="251">
        <f t="shared" si="80"/>
        <v>0</v>
      </c>
      <c r="Q107" s="251">
        <f t="shared" si="80"/>
        <v>230000</v>
      </c>
      <c r="R107" s="251">
        <f t="shared" si="80"/>
        <v>0</v>
      </c>
      <c r="S107" s="251">
        <f t="shared" si="80"/>
        <v>230000</v>
      </c>
      <c r="T107" s="251">
        <f t="shared" si="80"/>
        <v>0</v>
      </c>
      <c r="U107" s="251">
        <f t="shared" si="80"/>
        <v>200000</v>
      </c>
      <c r="V107" s="251">
        <f t="shared" si="80"/>
        <v>0</v>
      </c>
      <c r="W107" s="251">
        <f t="shared" si="80"/>
        <v>200000</v>
      </c>
      <c r="X107" s="251">
        <f t="shared" si="80"/>
        <v>0</v>
      </c>
      <c r="Y107" s="251">
        <f t="shared" si="80"/>
        <v>200000</v>
      </c>
      <c r="Z107" s="192" t="s">
        <v>72</v>
      </c>
      <c r="AA107" s="295">
        <f t="shared" ref="AA107:AA110" si="81">SUM(C107:Y107)</f>
        <v>2610000</v>
      </c>
      <c r="AB107" s="296">
        <f>AA107*AI108</f>
        <v>82175850.000000015</v>
      </c>
      <c r="AD107" s="225">
        <f>AA62*AA49</f>
        <v>503332751.8499999</v>
      </c>
      <c r="AE107" s="225">
        <f>AA62*AC49</f>
        <v>33366034.40161445</v>
      </c>
      <c r="AF107" s="262">
        <f>AD107+AE107</f>
        <v>536698786.25161433</v>
      </c>
      <c r="AH107" s="3" t="s">
        <v>46</v>
      </c>
      <c r="AI107" s="3">
        <f>AI109*50</f>
        <v>52.475000000000009</v>
      </c>
    </row>
    <row r="108" spans="1:35" x14ac:dyDescent="0.3">
      <c r="A108" s="195" t="s">
        <v>270</v>
      </c>
      <c r="C108" s="251">
        <f>C45</f>
        <v>7500</v>
      </c>
      <c r="D108" s="251">
        <f t="shared" ref="D108:Y108" si="82">D45</f>
        <v>0</v>
      </c>
      <c r="E108" s="251">
        <f t="shared" si="82"/>
        <v>12500</v>
      </c>
      <c r="F108" s="251">
        <f t="shared" si="82"/>
        <v>0</v>
      </c>
      <c r="G108" s="251">
        <f t="shared" si="82"/>
        <v>13500</v>
      </c>
      <c r="H108" s="251">
        <f t="shared" si="82"/>
        <v>0</v>
      </c>
      <c r="I108" s="251">
        <f t="shared" si="82"/>
        <v>12500</v>
      </c>
      <c r="J108" s="251">
        <f t="shared" si="82"/>
        <v>0</v>
      </c>
      <c r="K108" s="251">
        <f t="shared" si="82"/>
        <v>11500</v>
      </c>
      <c r="L108" s="251">
        <f t="shared" si="82"/>
        <v>0</v>
      </c>
      <c r="M108" s="251">
        <f t="shared" si="82"/>
        <v>9500</v>
      </c>
      <c r="N108" s="251">
        <f t="shared" si="82"/>
        <v>0</v>
      </c>
      <c r="O108" s="251">
        <f t="shared" si="82"/>
        <v>10500</v>
      </c>
      <c r="P108" s="251">
        <f t="shared" si="82"/>
        <v>0</v>
      </c>
      <c r="Q108" s="251">
        <f t="shared" si="82"/>
        <v>11500</v>
      </c>
      <c r="R108" s="251">
        <f t="shared" si="82"/>
        <v>0</v>
      </c>
      <c r="S108" s="251">
        <f t="shared" si="82"/>
        <v>11500</v>
      </c>
      <c r="T108" s="251">
        <f t="shared" si="82"/>
        <v>0</v>
      </c>
      <c r="U108" s="251">
        <f t="shared" si="82"/>
        <v>10000</v>
      </c>
      <c r="V108" s="251">
        <f t="shared" si="82"/>
        <v>0</v>
      </c>
      <c r="W108" s="251">
        <f t="shared" si="82"/>
        <v>10000</v>
      </c>
      <c r="X108" s="251">
        <f t="shared" si="82"/>
        <v>0</v>
      </c>
      <c r="Y108" s="251">
        <f t="shared" si="82"/>
        <v>10000</v>
      </c>
      <c r="Z108" s="192" t="s">
        <v>303</v>
      </c>
      <c r="AA108" s="295">
        <f t="shared" si="81"/>
        <v>130500</v>
      </c>
      <c r="AB108" s="296">
        <f>AA108*AI108</f>
        <v>4108792.5000000005</v>
      </c>
      <c r="AD108" s="225">
        <f>AA63*AA51</f>
        <v>110781160</v>
      </c>
      <c r="AE108" s="192"/>
      <c r="AF108" s="262">
        <f>AD108</f>
        <v>110781160</v>
      </c>
      <c r="AH108" s="3" t="s">
        <v>47</v>
      </c>
      <c r="AI108" s="3">
        <f>AI109*30</f>
        <v>31.485000000000003</v>
      </c>
    </row>
    <row r="109" spans="1:35" x14ac:dyDescent="0.3">
      <c r="A109" s="195" t="s">
        <v>272</v>
      </c>
      <c r="C109" s="251">
        <f>C47</f>
        <v>1250000</v>
      </c>
      <c r="D109" s="251">
        <f t="shared" ref="D109:Y109" si="83">D47</f>
        <v>0</v>
      </c>
      <c r="E109" s="251">
        <f t="shared" si="83"/>
        <v>1250000</v>
      </c>
      <c r="F109" s="251">
        <f t="shared" si="83"/>
        <v>0</v>
      </c>
      <c r="G109" s="251">
        <f t="shared" si="83"/>
        <v>1250000</v>
      </c>
      <c r="H109" s="251">
        <f t="shared" si="83"/>
        <v>0</v>
      </c>
      <c r="I109" s="251">
        <f t="shared" si="83"/>
        <v>1250000</v>
      </c>
      <c r="J109" s="251">
        <f t="shared" si="83"/>
        <v>0</v>
      </c>
      <c r="K109" s="251">
        <f t="shared" si="83"/>
        <v>1250000</v>
      </c>
      <c r="L109" s="251">
        <f t="shared" si="83"/>
        <v>0</v>
      </c>
      <c r="M109" s="251">
        <f t="shared" si="83"/>
        <v>1250000</v>
      </c>
      <c r="N109" s="251">
        <f t="shared" si="83"/>
        <v>0</v>
      </c>
      <c r="O109" s="251">
        <f t="shared" si="83"/>
        <v>1250000</v>
      </c>
      <c r="P109" s="251">
        <f t="shared" si="83"/>
        <v>0</v>
      </c>
      <c r="Q109" s="251">
        <f t="shared" si="83"/>
        <v>1250000</v>
      </c>
      <c r="R109" s="251">
        <f t="shared" si="83"/>
        <v>0</v>
      </c>
      <c r="S109" s="251">
        <f t="shared" si="83"/>
        <v>1250000</v>
      </c>
      <c r="T109" s="251">
        <f t="shared" si="83"/>
        <v>0</v>
      </c>
      <c r="U109" s="251">
        <f t="shared" si="83"/>
        <v>1250000</v>
      </c>
      <c r="V109" s="251">
        <f t="shared" si="83"/>
        <v>0</v>
      </c>
      <c r="W109" s="251">
        <f t="shared" si="83"/>
        <v>1250000</v>
      </c>
      <c r="X109" s="251">
        <f t="shared" si="83"/>
        <v>0</v>
      </c>
      <c r="Y109" s="251">
        <f t="shared" si="83"/>
        <v>1250000</v>
      </c>
      <c r="AA109" s="295">
        <f t="shared" si="81"/>
        <v>15000000</v>
      </c>
      <c r="AB109" s="296">
        <f>AA109*AI109</f>
        <v>15742500.000000002</v>
      </c>
      <c r="AD109" s="225">
        <f>AD107+AD108</f>
        <v>614113911.8499999</v>
      </c>
      <c r="AE109" s="192"/>
      <c r="AF109" s="262">
        <f>AF107+AF108</f>
        <v>647479946.25161433</v>
      </c>
      <c r="AH109" s="3" t="s">
        <v>49</v>
      </c>
      <c r="AI109" s="3">
        <v>1.0495000000000001</v>
      </c>
    </row>
    <row r="110" spans="1:35" x14ac:dyDescent="0.3">
      <c r="A110" s="195" t="s">
        <v>50</v>
      </c>
      <c r="C110" s="251">
        <f>C51</f>
        <v>0</v>
      </c>
      <c r="D110" s="251">
        <f t="shared" ref="D110:Y110" si="84">D51</f>
        <v>0</v>
      </c>
      <c r="E110" s="251">
        <f t="shared" si="84"/>
        <v>6500000</v>
      </c>
      <c r="F110" s="251">
        <f t="shared" si="84"/>
        <v>0</v>
      </c>
      <c r="G110" s="251">
        <f t="shared" si="84"/>
        <v>6500000</v>
      </c>
      <c r="H110" s="251">
        <f t="shared" si="84"/>
        <v>0</v>
      </c>
      <c r="I110" s="251">
        <f t="shared" si="84"/>
        <v>6500000</v>
      </c>
      <c r="J110" s="251">
        <f t="shared" si="84"/>
        <v>0</v>
      </c>
      <c r="K110" s="251">
        <f t="shared" si="84"/>
        <v>6500000</v>
      </c>
      <c r="L110" s="251">
        <f t="shared" si="84"/>
        <v>0</v>
      </c>
      <c r="M110" s="251">
        <f t="shared" si="84"/>
        <v>6500000</v>
      </c>
      <c r="N110" s="251">
        <f t="shared" si="84"/>
        <v>0</v>
      </c>
      <c r="O110" s="251">
        <f t="shared" si="84"/>
        <v>6500000</v>
      </c>
      <c r="P110" s="251">
        <f t="shared" si="84"/>
        <v>0</v>
      </c>
      <c r="Q110" s="251">
        <f t="shared" si="84"/>
        <v>0</v>
      </c>
      <c r="R110" s="251">
        <f t="shared" si="84"/>
        <v>0</v>
      </c>
      <c r="S110" s="251">
        <f t="shared" si="84"/>
        <v>0</v>
      </c>
      <c r="T110" s="251">
        <f t="shared" si="84"/>
        <v>0</v>
      </c>
      <c r="U110" s="251">
        <f t="shared" si="84"/>
        <v>0</v>
      </c>
      <c r="V110" s="251">
        <f t="shared" si="84"/>
        <v>0</v>
      </c>
      <c r="W110" s="251">
        <f t="shared" si="84"/>
        <v>430074</v>
      </c>
      <c r="X110" s="251">
        <f t="shared" si="84"/>
        <v>0</v>
      </c>
      <c r="Y110" s="251">
        <f t="shared" si="84"/>
        <v>134626</v>
      </c>
      <c r="AA110" s="295">
        <f t="shared" si="81"/>
        <v>39564700</v>
      </c>
      <c r="AB110" s="296">
        <f>AA110*AI110</f>
        <v>69206573.24000001</v>
      </c>
      <c r="AD110" s="297"/>
      <c r="AH110" s="3" t="s">
        <v>50</v>
      </c>
      <c r="AI110" s="3">
        <v>1.7492000000000001</v>
      </c>
    </row>
    <row r="111" spans="1:35" s="173" customFormat="1" x14ac:dyDescent="0.3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193"/>
      <c r="U111" s="193"/>
      <c r="V111" s="193"/>
      <c r="W111" s="193"/>
      <c r="X111" s="193"/>
      <c r="Y111" s="193"/>
      <c r="Z111" s="193"/>
      <c r="AA111" s="295"/>
      <c r="AB111" s="295">
        <f>SUM(AB106:AB110)</f>
        <v>243911590.74000004</v>
      </c>
      <c r="AD111" s="20"/>
      <c r="AH111" s="73" t="s">
        <v>51</v>
      </c>
      <c r="AI111" s="73">
        <v>1.6760999999999999</v>
      </c>
    </row>
    <row r="112" spans="1:35" x14ac:dyDescent="0.3"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95"/>
      <c r="AB112" s="296">
        <f>AB111/1000</f>
        <v>243911.59074000004</v>
      </c>
      <c r="AD112" s="225"/>
      <c r="AH112" s="3" t="s">
        <v>93</v>
      </c>
      <c r="AI112" s="3">
        <f>AI107*20</f>
        <v>1049.5000000000002</v>
      </c>
    </row>
    <row r="113" spans="1:27" x14ac:dyDescent="0.3">
      <c r="AA113" s="225"/>
    </row>
    <row r="114" spans="1:27" x14ac:dyDescent="0.3">
      <c r="A114" t="s">
        <v>304</v>
      </c>
      <c r="C114" s="225">
        <f t="shared" ref="C114:S114" si="85">C69*C68</f>
        <v>108000</v>
      </c>
      <c r="D114" s="225">
        <f t="shared" si="85"/>
        <v>0</v>
      </c>
      <c r="E114" s="225">
        <f t="shared" si="85"/>
        <v>186000</v>
      </c>
      <c r="F114" s="225">
        <f t="shared" si="85"/>
        <v>0</v>
      </c>
      <c r="G114" s="225">
        <f t="shared" si="85"/>
        <v>180000</v>
      </c>
      <c r="H114" s="225">
        <f t="shared" si="85"/>
        <v>0</v>
      </c>
      <c r="I114" s="225">
        <f t="shared" si="85"/>
        <v>186000</v>
      </c>
      <c r="J114" s="225">
        <f t="shared" si="85"/>
        <v>0</v>
      </c>
      <c r="K114" s="225">
        <f t="shared" si="85"/>
        <v>186000</v>
      </c>
      <c r="L114" s="225">
        <f t="shared" si="85"/>
        <v>0</v>
      </c>
      <c r="M114" s="225">
        <f t="shared" si="85"/>
        <v>180000</v>
      </c>
      <c r="N114" s="225">
        <f t="shared" si="85"/>
        <v>0</v>
      </c>
      <c r="O114" s="225">
        <f t="shared" si="85"/>
        <v>186000</v>
      </c>
      <c r="P114" s="225">
        <f t="shared" si="85"/>
        <v>0</v>
      </c>
      <c r="Q114" s="225">
        <f t="shared" si="85"/>
        <v>88000</v>
      </c>
      <c r="R114" s="225">
        <f t="shared" si="85"/>
        <v>0</v>
      </c>
      <c r="S114" s="225">
        <f t="shared" si="85"/>
        <v>0</v>
      </c>
      <c r="U114" s="225">
        <f>U69*U68</f>
        <v>0</v>
      </c>
      <c r="V114" s="225">
        <f>V69*V68</f>
        <v>0</v>
      </c>
      <c r="W114" s="225">
        <f>W69*W68</f>
        <v>0</v>
      </c>
      <c r="X114" s="225">
        <f>X69*X68</f>
        <v>0</v>
      </c>
      <c r="Y114" s="225">
        <f>Y69*Y68</f>
        <v>0</v>
      </c>
      <c r="AA114" s="295">
        <f>SUM(C114:Y114)</f>
        <v>1300000</v>
      </c>
    </row>
  </sheetData>
  <mergeCells count="9">
    <mergeCell ref="A12:A13"/>
    <mergeCell ref="AH106:AI106"/>
    <mergeCell ref="AE1:AF1"/>
    <mergeCell ref="G3:H3"/>
    <mergeCell ref="I3:J3"/>
    <mergeCell ref="K3:L3"/>
    <mergeCell ref="M3:N3"/>
    <mergeCell ref="O3:P3"/>
    <mergeCell ref="Q3:R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9ADFF-E91A-45D6-8840-CA1C8DDF3D36}">
  <sheetPr>
    <tabColor rgb="FFC00000"/>
    <pageSetUpPr fitToPage="1"/>
  </sheetPr>
  <dimension ref="A1:AB67"/>
  <sheetViews>
    <sheetView showGridLines="0" tabSelected="1" zoomScale="102" zoomScaleNormal="102" workbookViewId="0">
      <pane xSplit="1" ySplit="1" topLeftCell="B2" activePane="bottomRight" state="frozen"/>
      <selection activeCell="C16" sqref="C16"/>
      <selection pane="topRight" activeCell="C16" sqref="C16"/>
      <selection pane="bottomLeft" activeCell="C16" sqref="C16"/>
      <selection pane="bottomRight" activeCell="A19" sqref="A19"/>
    </sheetView>
  </sheetViews>
  <sheetFormatPr defaultRowHeight="14.4" x14ac:dyDescent="0.3"/>
  <cols>
    <col min="1" max="1" width="45.109375" bestFit="1" customWidth="1"/>
    <col min="2" max="5" width="11" style="13" customWidth="1"/>
    <col min="6" max="7" width="11" style="39" customWidth="1"/>
    <col min="8" max="9" width="11" style="13" bestFit="1" customWidth="1"/>
    <col min="10" max="10" width="13.21875" style="13" bestFit="1" customWidth="1"/>
    <col min="11" max="15" width="11" style="13" bestFit="1" customWidth="1"/>
    <col min="16" max="17" width="13.5546875" style="13" hidden="1" customWidth="1"/>
    <col min="18" max="18" width="13.33203125" style="13" hidden="1" customWidth="1"/>
    <col min="19" max="19" width="14.44140625" style="13" hidden="1" customWidth="1"/>
    <col min="20" max="20" width="8.88671875" hidden="1" customWidth="1"/>
    <col min="21" max="21" width="24.88671875" hidden="1" customWidth="1"/>
    <col min="22" max="22" width="10.33203125" hidden="1" customWidth="1"/>
    <col min="23" max="23" width="14.44140625" hidden="1" customWidth="1"/>
    <col min="24" max="24" width="64.33203125" hidden="1" customWidth="1"/>
    <col min="25" max="25" width="13.88671875" hidden="1" customWidth="1"/>
    <col min="26" max="26" width="12.5546875" hidden="1" customWidth="1"/>
    <col min="27" max="27" width="4.44140625" customWidth="1"/>
    <col min="28" max="28" width="15" bestFit="1" customWidth="1"/>
  </cols>
  <sheetData>
    <row r="1" spans="1:22" s="173" customFormat="1" x14ac:dyDescent="0.3">
      <c r="A1" s="308" t="s">
        <v>202</v>
      </c>
      <c r="B1" s="309">
        <v>2017</v>
      </c>
      <c r="C1" s="309">
        <v>2018</v>
      </c>
      <c r="D1" s="309">
        <v>2019</v>
      </c>
      <c r="E1" s="309">
        <v>2020</v>
      </c>
      <c r="F1" s="309">
        <v>2021</v>
      </c>
      <c r="G1" s="309">
        <v>2022</v>
      </c>
      <c r="H1" s="309">
        <v>2023</v>
      </c>
      <c r="I1" s="309">
        <v>2024</v>
      </c>
      <c r="J1" s="309">
        <v>2025</v>
      </c>
      <c r="K1" s="309">
        <v>2026</v>
      </c>
      <c r="L1" s="309">
        <v>2027</v>
      </c>
      <c r="M1" s="309">
        <v>2028</v>
      </c>
      <c r="N1" s="309">
        <v>2029</v>
      </c>
      <c r="O1" s="309">
        <v>2030</v>
      </c>
      <c r="P1" s="313" t="s">
        <v>321</v>
      </c>
      <c r="Q1" s="313" t="s">
        <v>320</v>
      </c>
      <c r="R1" s="309" t="s">
        <v>317</v>
      </c>
      <c r="S1" s="309" t="s">
        <v>319</v>
      </c>
      <c r="T1" s="174"/>
    </row>
    <row r="2" spans="1:22" ht="15.6" x14ac:dyDescent="0.3">
      <c r="A2" s="404" t="s">
        <v>20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</row>
    <row r="3" spans="1:22" hidden="1" x14ac:dyDescent="0.3">
      <c r="A3" s="4" t="s">
        <v>27</v>
      </c>
      <c r="B3" s="303"/>
      <c r="C3" s="303"/>
      <c r="D3" s="303"/>
      <c r="E3" s="303"/>
      <c r="F3" s="304"/>
      <c r="G3" s="304"/>
      <c r="H3" s="304"/>
      <c r="I3" s="303"/>
      <c r="J3" s="303"/>
      <c r="K3" s="303"/>
      <c r="L3" s="303"/>
      <c r="M3" s="303"/>
      <c r="N3" s="303"/>
      <c r="O3" s="303"/>
      <c r="P3" s="303"/>
      <c r="Q3" s="303"/>
      <c r="R3"/>
      <c r="S3"/>
    </row>
    <row r="4" spans="1:22" hidden="1" x14ac:dyDescent="0.3">
      <c r="A4" s="5" t="s">
        <v>22</v>
      </c>
      <c r="B4" s="24">
        <v>4901</v>
      </c>
      <c r="C4" s="24">
        <v>4886.96</v>
      </c>
      <c r="D4" s="24">
        <v>4682.21</v>
      </c>
      <c r="E4" s="24">
        <v>4062.21</v>
      </c>
      <c r="F4" s="40">
        <v>4255.93</v>
      </c>
      <c r="G4" s="40">
        <v>4140.6899999999987</v>
      </c>
      <c r="H4" s="24">
        <v>3596</v>
      </c>
      <c r="I4" s="24">
        <v>3380</v>
      </c>
      <c r="J4" s="24">
        <v>7192.7500000000009</v>
      </c>
      <c r="K4" s="24">
        <v>6170.6399999999994</v>
      </c>
      <c r="L4" s="24">
        <v>5225.6100000000006</v>
      </c>
      <c r="M4" s="24">
        <v>4171.18</v>
      </c>
      <c r="N4" s="24">
        <v>3121.6399999999994</v>
      </c>
      <c r="O4" s="24">
        <v>2259.2400000000002</v>
      </c>
      <c r="P4" s="24"/>
      <c r="Q4" s="24"/>
      <c r="R4" s="24"/>
      <c r="S4" s="24"/>
      <c r="U4" s="1"/>
    </row>
    <row r="5" spans="1:22" hidden="1" x14ac:dyDescent="0.3">
      <c r="A5" s="5" t="s">
        <v>23</v>
      </c>
      <c r="B5" s="24">
        <v>5596.73</v>
      </c>
      <c r="C5" s="24">
        <v>5457.93</v>
      </c>
      <c r="D5" s="24">
        <v>4934.8999999999996</v>
      </c>
      <c r="E5" s="24">
        <v>4686.46</v>
      </c>
      <c r="F5" s="40">
        <v>4520.3600000000006</v>
      </c>
      <c r="G5" s="40">
        <v>4349.17</v>
      </c>
      <c r="H5" s="24">
        <v>4240</v>
      </c>
      <c r="I5" s="24">
        <v>3978.9099999999994</v>
      </c>
      <c r="J5" s="24"/>
      <c r="K5" s="24"/>
      <c r="L5" s="24"/>
      <c r="M5" s="24"/>
      <c r="N5" s="24"/>
      <c r="O5" s="24"/>
      <c r="P5" s="24"/>
      <c r="Q5" s="24"/>
      <c r="R5" s="24"/>
      <c r="S5" s="24"/>
      <c r="U5" s="1"/>
    </row>
    <row r="6" spans="1:22" hidden="1" x14ac:dyDescent="0.3">
      <c r="A6" s="5" t="s">
        <v>24</v>
      </c>
      <c r="B6" s="24">
        <v>5707.62</v>
      </c>
      <c r="C6" s="24">
        <v>5843.22</v>
      </c>
      <c r="D6" s="24">
        <v>6952.23</v>
      </c>
      <c r="E6" s="24">
        <v>7945.33</v>
      </c>
      <c r="F6" s="40">
        <v>8237.44</v>
      </c>
      <c r="G6" s="40">
        <v>8635.89</v>
      </c>
      <c r="H6" s="24">
        <v>9572</v>
      </c>
      <c r="I6" s="24">
        <v>10079.02</v>
      </c>
      <c r="J6" s="24">
        <v>10781.63</v>
      </c>
      <c r="K6" s="24">
        <v>11748.400000000001</v>
      </c>
      <c r="L6" s="24">
        <v>13443.430000000002</v>
      </c>
      <c r="M6" s="24">
        <v>15247.86</v>
      </c>
      <c r="N6" s="24">
        <v>16297.4</v>
      </c>
      <c r="O6" s="24">
        <v>17159.8</v>
      </c>
      <c r="P6" s="24"/>
      <c r="Q6" s="24"/>
      <c r="R6" s="24"/>
      <c r="S6" s="24"/>
    </row>
    <row r="7" spans="1:22" hidden="1" x14ac:dyDescent="0.3">
      <c r="A7" s="5" t="s">
        <v>42</v>
      </c>
      <c r="B7" s="24">
        <v>994.57</v>
      </c>
      <c r="C7" s="24">
        <v>994.57</v>
      </c>
      <c r="D7" s="24">
        <v>888.91</v>
      </c>
      <c r="E7" s="24">
        <v>810.38</v>
      </c>
      <c r="F7" s="40">
        <v>569.14</v>
      </c>
      <c r="G7" s="40">
        <v>485.19</v>
      </c>
      <c r="H7" s="24">
        <v>373.87</v>
      </c>
      <c r="I7" s="24">
        <v>472</v>
      </c>
      <c r="J7" s="24"/>
      <c r="K7" s="24"/>
      <c r="L7" s="24"/>
      <c r="M7" s="24"/>
      <c r="N7" s="24"/>
      <c r="O7" s="24"/>
      <c r="P7" s="24"/>
      <c r="Q7" s="24"/>
      <c r="R7" s="24"/>
      <c r="S7" s="24"/>
      <c r="V7" s="8"/>
    </row>
    <row r="8" spans="1:22" hidden="1" x14ac:dyDescent="0.3">
      <c r="A8" s="5" t="s">
        <v>25</v>
      </c>
      <c r="B8" s="24">
        <v>83.95</v>
      </c>
      <c r="C8" s="24">
        <v>83.95</v>
      </c>
      <c r="D8" s="24"/>
      <c r="E8" s="24"/>
      <c r="F8" s="40"/>
      <c r="G8" s="40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V8" s="15"/>
    </row>
    <row r="9" spans="1:22" x14ac:dyDescent="0.3">
      <c r="A9" s="4" t="s">
        <v>26</v>
      </c>
      <c r="B9" s="24">
        <v>17283.87</v>
      </c>
      <c r="C9" s="24">
        <v>17266.63</v>
      </c>
      <c r="D9" s="24">
        <v>17458.25</v>
      </c>
      <c r="E9" s="24">
        <v>17504.38</v>
      </c>
      <c r="F9" s="24">
        <v>17582.870000000003</v>
      </c>
      <c r="G9" s="40">
        <v>17610.939999999999</v>
      </c>
      <c r="H9" s="24">
        <v>17781.87</v>
      </c>
      <c r="I9" s="24">
        <v>17909.93</v>
      </c>
      <c r="J9" s="24">
        <v>17974.38</v>
      </c>
      <c r="K9" s="24">
        <v>17919.04</v>
      </c>
      <c r="L9" s="24">
        <v>18669.04</v>
      </c>
      <c r="M9" s="24">
        <v>19419.04</v>
      </c>
      <c r="N9" s="24">
        <v>19419.04</v>
      </c>
      <c r="O9" s="24">
        <v>19419.04</v>
      </c>
      <c r="P9" s="24"/>
      <c r="Q9" s="24"/>
      <c r="R9" s="24"/>
      <c r="S9" s="24"/>
      <c r="T9" s="9"/>
      <c r="U9" s="24"/>
    </row>
    <row r="10" spans="1:22" x14ac:dyDescent="0.3">
      <c r="A10" s="4" t="s">
        <v>28</v>
      </c>
      <c r="B10" s="24">
        <v>15880.61</v>
      </c>
      <c r="C10" s="53">
        <v>15097.48</v>
      </c>
      <c r="D10" s="22">
        <v>15922.71</v>
      </c>
      <c r="E10" s="22">
        <v>15300.34</v>
      </c>
      <c r="F10" s="29">
        <v>15965.08</v>
      </c>
      <c r="G10" s="178">
        <v>14127</v>
      </c>
      <c r="H10" s="385">
        <v>15742.07</v>
      </c>
      <c r="I10" s="385">
        <v>16566.919999999998</v>
      </c>
      <c r="J10" s="24">
        <v>16693.120000000003</v>
      </c>
      <c r="K10" s="24">
        <v>16905.740000000002</v>
      </c>
      <c r="L10" s="24">
        <v>17271.140000000003</v>
      </c>
      <c r="M10" s="24">
        <v>17816.72</v>
      </c>
      <c r="N10" s="24">
        <v>18199.189999999999</v>
      </c>
      <c r="O10" s="24">
        <v>18227.25</v>
      </c>
      <c r="P10" s="18"/>
      <c r="Q10" s="18"/>
      <c r="R10" s="18"/>
      <c r="S10" s="18"/>
      <c r="T10" s="18"/>
      <c r="U10" s="18"/>
    </row>
    <row r="11" spans="1:22" x14ac:dyDescent="0.3">
      <c r="A11" s="4" t="s">
        <v>29</v>
      </c>
      <c r="B11" s="24">
        <v>107.48</v>
      </c>
      <c r="C11" s="24">
        <v>114.74</v>
      </c>
      <c r="D11" s="26">
        <v>122.87</v>
      </c>
      <c r="E11" s="26">
        <v>113.35</v>
      </c>
      <c r="F11" s="41">
        <v>114.167</v>
      </c>
      <c r="G11" s="41">
        <v>109.68825</v>
      </c>
      <c r="H11" s="386">
        <v>121.17486836229288</v>
      </c>
      <c r="I11" s="386">
        <v>114.68637501720296</v>
      </c>
      <c r="J11" s="26">
        <v>116.58653085822181</v>
      </c>
      <c r="K11" s="26">
        <v>114.68050496458599</v>
      </c>
      <c r="L11" s="26">
        <v>118.10179119618043</v>
      </c>
      <c r="M11" s="26">
        <v>122.60857778536116</v>
      </c>
      <c r="N11" s="26">
        <v>127.05701792222619</v>
      </c>
      <c r="O11" s="26">
        <v>129.46741280226036</v>
      </c>
      <c r="P11" s="26"/>
      <c r="Q11" s="26"/>
      <c r="R11" s="26"/>
      <c r="S11" s="26"/>
      <c r="T11" s="19"/>
      <c r="U11" s="19"/>
    </row>
    <row r="12" spans="1:22" hidden="1" x14ac:dyDescent="0.3">
      <c r="A12" s="4" t="s">
        <v>192</v>
      </c>
      <c r="B12" s="24"/>
      <c r="C12" s="24">
        <v>153</v>
      </c>
      <c r="D12" s="26">
        <v>153.6</v>
      </c>
      <c r="E12" s="26">
        <v>151.1</v>
      </c>
      <c r="F12" s="41">
        <v>147.1</v>
      </c>
      <c r="G12" s="41">
        <v>149.30000000000001</v>
      </c>
      <c r="H12" s="26">
        <v>142.9</v>
      </c>
      <c r="I12" s="26">
        <v>149</v>
      </c>
      <c r="J12" s="26">
        <v>149</v>
      </c>
      <c r="K12" s="26">
        <v>149</v>
      </c>
      <c r="L12" s="26">
        <v>149</v>
      </c>
      <c r="M12" s="26">
        <v>149</v>
      </c>
      <c r="N12" s="26">
        <v>149</v>
      </c>
      <c r="O12" s="26">
        <v>149</v>
      </c>
      <c r="P12" s="26"/>
      <c r="Q12" s="26"/>
      <c r="R12" s="26"/>
      <c r="S12" s="26"/>
      <c r="T12" s="19"/>
      <c r="U12" s="19"/>
    </row>
    <row r="13" spans="1:22" hidden="1" x14ac:dyDescent="0.3">
      <c r="A13" s="4" t="s">
        <v>194</v>
      </c>
      <c r="B13" s="24">
        <v>143.80000000000001</v>
      </c>
      <c r="C13" s="24">
        <v>149.4</v>
      </c>
      <c r="D13" s="26">
        <v>148.80000000000001</v>
      </c>
      <c r="E13" s="26">
        <v>143.80000000000001</v>
      </c>
      <c r="F13" s="41">
        <v>141.69999999999999</v>
      </c>
      <c r="G13" s="41">
        <v>141.69999999999999</v>
      </c>
      <c r="H13" s="26">
        <v>137.9</v>
      </c>
      <c r="I13" s="26">
        <v>139</v>
      </c>
      <c r="J13" s="26">
        <v>139</v>
      </c>
      <c r="K13" s="26">
        <v>139</v>
      </c>
      <c r="L13" s="26">
        <v>139</v>
      </c>
      <c r="M13" s="26">
        <v>139</v>
      </c>
      <c r="N13" s="26">
        <v>139</v>
      </c>
      <c r="O13" s="26">
        <v>139</v>
      </c>
      <c r="P13" s="26"/>
      <c r="Q13" s="26"/>
      <c r="R13" s="26"/>
      <c r="S13" s="26"/>
      <c r="U13" s="8"/>
    </row>
    <row r="14" spans="1:22" hidden="1" x14ac:dyDescent="0.3">
      <c r="A14" s="4" t="s">
        <v>193</v>
      </c>
      <c r="B14" s="24">
        <v>146.70476834237815</v>
      </c>
      <c r="C14" s="24">
        <v>151.30040980382202</v>
      </c>
      <c r="D14" s="24">
        <v>148.35164835164835</v>
      </c>
      <c r="E14" s="24">
        <v>143.15384615384616</v>
      </c>
      <c r="F14" s="24">
        <v>145.01098901098902</v>
      </c>
      <c r="G14" s="40">
        <v>145.99173336794408</v>
      </c>
      <c r="H14" s="26">
        <v>148</v>
      </c>
      <c r="I14" s="26">
        <v>148</v>
      </c>
      <c r="J14" s="26">
        <v>148</v>
      </c>
      <c r="K14" s="26">
        <v>148</v>
      </c>
      <c r="L14" s="26">
        <v>148</v>
      </c>
      <c r="M14" s="26">
        <v>148</v>
      </c>
      <c r="N14" s="26">
        <v>148</v>
      </c>
      <c r="O14" s="26">
        <v>148</v>
      </c>
      <c r="P14" s="26"/>
      <c r="Q14" s="26"/>
      <c r="R14" s="26"/>
      <c r="S14" s="26"/>
      <c r="U14" s="8"/>
    </row>
    <row r="15" spans="1:22" x14ac:dyDescent="0.3">
      <c r="A15" s="4" t="s">
        <v>1</v>
      </c>
      <c r="B15" s="22">
        <v>1706870</v>
      </c>
      <c r="C15" s="22">
        <v>1732331</v>
      </c>
      <c r="D15" s="22">
        <v>1956370</v>
      </c>
      <c r="E15" s="22">
        <v>1734633</v>
      </c>
      <c r="F15" s="29">
        <v>1822685.2883600001</v>
      </c>
      <c r="G15" s="29">
        <v>1549565.90775</v>
      </c>
      <c r="H15" s="29">
        <v>1907543.26</v>
      </c>
      <c r="I15" s="29">
        <v>1900000</v>
      </c>
      <c r="J15" s="9">
        <v>1946192.95</v>
      </c>
      <c r="K15" s="9">
        <v>1938758.8000000003</v>
      </c>
      <c r="L15" s="9">
        <v>2039752.57</v>
      </c>
      <c r="M15" s="9">
        <v>2184482.7000000002</v>
      </c>
      <c r="N15" s="9">
        <v>2312334.8099999996</v>
      </c>
      <c r="O15" s="9">
        <v>2359834.9</v>
      </c>
      <c r="P15" s="29">
        <v>0</v>
      </c>
      <c r="Q15" s="29">
        <v>0</v>
      </c>
      <c r="R15" s="29">
        <f>I15</f>
        <v>1900000</v>
      </c>
      <c r="S15" s="29">
        <f>R15</f>
        <v>1900000</v>
      </c>
      <c r="T15" s="8"/>
      <c r="U15" s="8"/>
    </row>
    <row r="16" spans="1:22" s="188" customFormat="1" ht="15.6" customHeight="1" x14ac:dyDescent="0.3">
      <c r="A16" s="11" t="s">
        <v>213</v>
      </c>
      <c r="B16" s="29">
        <v>133.50133919156411</v>
      </c>
      <c r="C16" s="29">
        <v>137.68337292147805</v>
      </c>
      <c r="D16" s="29">
        <v>135</v>
      </c>
      <c r="E16" s="29">
        <v>130.27000000000001</v>
      </c>
      <c r="F16" s="29">
        <v>131.96</v>
      </c>
      <c r="G16" s="29">
        <v>132.85247736482913</v>
      </c>
      <c r="H16" s="29">
        <v>123.74448969090305</v>
      </c>
      <c r="I16" s="307">
        <v>128.87065789473687</v>
      </c>
      <c r="J16" s="29">
        <v>128.87065789473687</v>
      </c>
      <c r="K16" s="29">
        <v>128.87065789473687</v>
      </c>
      <c r="L16" s="29">
        <v>128.87065789473687</v>
      </c>
      <c r="M16" s="29">
        <v>128.87065789473687</v>
      </c>
      <c r="N16" s="29">
        <v>128.87065789473687</v>
      </c>
      <c r="O16" s="29">
        <v>128.87065789473687</v>
      </c>
      <c r="P16" s="29">
        <v>0</v>
      </c>
      <c r="Q16" s="29">
        <v>0</v>
      </c>
      <c r="R16" s="29">
        <f>I16</f>
        <v>128.87065789473687</v>
      </c>
      <c r="S16" s="29">
        <f>R16</f>
        <v>128.87065789473687</v>
      </c>
      <c r="T16" s="10"/>
    </row>
    <row r="17" spans="1:28" hidden="1" x14ac:dyDescent="0.3">
      <c r="A17" s="185" t="s">
        <v>211</v>
      </c>
      <c r="B17" s="186">
        <v>10.298660808435898</v>
      </c>
      <c r="C17" s="186">
        <v>11.716627078521952</v>
      </c>
      <c r="D17" s="186">
        <v>13.800000000000011</v>
      </c>
      <c r="E17" s="186">
        <v>13.530000000000001</v>
      </c>
      <c r="F17" s="186">
        <v>9.7399999999999807</v>
      </c>
      <c r="G17" s="186">
        <v>8.8475226351708613</v>
      </c>
      <c r="H17" s="186">
        <v>14.155510309096954</v>
      </c>
      <c r="I17" s="186">
        <v>10.129342105263134</v>
      </c>
      <c r="J17" s="186">
        <v>10.129342105263134</v>
      </c>
      <c r="K17" s="186">
        <v>10.129342105263134</v>
      </c>
      <c r="L17" s="186">
        <v>10.129342105263134</v>
      </c>
      <c r="M17" s="186">
        <v>10.129342105263134</v>
      </c>
      <c r="N17" s="186">
        <v>10.129342105263134</v>
      </c>
      <c r="O17" s="186">
        <v>10.129342105263134</v>
      </c>
      <c r="P17" s="22"/>
      <c r="Q17" s="22"/>
      <c r="R17" s="22"/>
      <c r="S17" s="22"/>
      <c r="T17" s="14"/>
    </row>
    <row r="18" spans="1:28" hidden="1" x14ac:dyDescent="0.3">
      <c r="A18" s="185" t="s">
        <v>212</v>
      </c>
      <c r="B18" s="187">
        <v>7.1617947207481894E-2</v>
      </c>
      <c r="C18" s="187">
        <v>7.8424545371632876E-2</v>
      </c>
      <c r="D18" s="187">
        <v>9.2741935483871038E-2</v>
      </c>
      <c r="E18" s="187">
        <v>9.4089012517385259E-2</v>
      </c>
      <c r="F18" s="187">
        <v>6.8736767819336492E-2</v>
      </c>
      <c r="G18" s="187">
        <v>6.2438409563661694E-2</v>
      </c>
      <c r="H18" s="187">
        <v>0.10265054611382853</v>
      </c>
      <c r="I18" s="187">
        <v>7.2872964786065711E-2</v>
      </c>
      <c r="J18" s="187">
        <v>7.2872964786065711E-2</v>
      </c>
      <c r="K18" s="187">
        <v>7.2872964786065711E-2</v>
      </c>
      <c r="L18" s="187">
        <v>7.2872964786065711E-2</v>
      </c>
      <c r="M18" s="187">
        <v>7.2872964786065711E-2</v>
      </c>
      <c r="N18" s="187">
        <v>7.2872964786065711E-2</v>
      </c>
      <c r="O18" s="187">
        <v>7.2872964786065711E-2</v>
      </c>
      <c r="P18" s="22"/>
      <c r="Q18" s="22"/>
      <c r="R18" s="22"/>
      <c r="S18" s="22"/>
      <c r="T18" s="14"/>
    </row>
    <row r="19" spans="1:28" x14ac:dyDescent="0.3">
      <c r="A19" s="4" t="s">
        <v>2</v>
      </c>
      <c r="B19" s="22">
        <v>227869.43082590503</v>
      </c>
      <c r="C19" s="22">
        <v>238513.17509643701</v>
      </c>
      <c r="D19" s="22">
        <v>264109.95</v>
      </c>
      <c r="E19" s="22">
        <v>225970.64091000002</v>
      </c>
      <c r="F19" s="29">
        <v>240521.55065198566</v>
      </c>
      <c r="G19" s="29">
        <v>205863.66968466778</v>
      </c>
      <c r="H19" s="22">
        <v>236047.9672720216</v>
      </c>
      <c r="I19" s="22">
        <v>244854.25000000003</v>
      </c>
      <c r="J19" s="22">
        <v>250807.16585659873</v>
      </c>
      <c r="K19" s="22">
        <v>249849.12205521061</v>
      </c>
      <c r="L19" s="22">
        <v>262864.2556383803</v>
      </c>
      <c r="M19" s="22">
        <v>281515.72270867118</v>
      </c>
      <c r="N19" s="22">
        <v>297992.10823760135</v>
      </c>
      <c r="O19" s="22">
        <v>304113.47608596057</v>
      </c>
      <c r="P19" s="22">
        <v>0</v>
      </c>
      <c r="Q19" s="22">
        <v>0</v>
      </c>
      <c r="R19" s="22">
        <f>I19</f>
        <v>244854.25000000003</v>
      </c>
      <c r="S19" s="22">
        <f>R19</f>
        <v>244854.25000000003</v>
      </c>
      <c r="T19" s="9">
        <v>181170.35</v>
      </c>
      <c r="U19" s="400" t="s">
        <v>45</v>
      </c>
      <c r="V19" s="401"/>
      <c r="W19" s="402"/>
      <c r="X19" s="403"/>
    </row>
    <row r="20" spans="1:28" x14ac:dyDescent="0.3">
      <c r="A20" s="6" t="s">
        <v>3</v>
      </c>
      <c r="B20" s="27">
        <v>197894.78688259999</v>
      </c>
      <c r="C20" s="27">
        <v>247192.80981449998</v>
      </c>
      <c r="D20" s="27">
        <v>275920</v>
      </c>
      <c r="E20" s="27">
        <v>227635</v>
      </c>
      <c r="F20" s="30">
        <v>235320.95158200001</v>
      </c>
      <c r="G20" s="30">
        <v>221590.19397620004</v>
      </c>
      <c r="H20" s="30">
        <v>222229.03256025002</v>
      </c>
      <c r="I20" s="30">
        <v>234728.46574000004</v>
      </c>
      <c r="J20" s="27">
        <v>250807.16585659873</v>
      </c>
      <c r="K20" s="27">
        <v>249849.12205521061</v>
      </c>
      <c r="L20" s="27">
        <v>262864.2556383803</v>
      </c>
      <c r="M20" s="27">
        <v>281515.72270867118</v>
      </c>
      <c r="N20" s="27">
        <v>297992.10823760135</v>
      </c>
      <c r="O20" s="27">
        <v>304113.47608596057</v>
      </c>
      <c r="P20" s="22">
        <v>9818.07</v>
      </c>
      <c r="Q20" s="22">
        <v>13872.09</v>
      </c>
      <c r="R20" s="22">
        <f>I20</f>
        <v>234728.46574000004</v>
      </c>
      <c r="S20" s="22">
        <f>R20</f>
        <v>234728.46574000004</v>
      </c>
      <c r="T20" s="9">
        <v>47488.76</v>
      </c>
      <c r="U20" s="3" t="s">
        <v>46</v>
      </c>
      <c r="V20" s="3">
        <f>V22*50</f>
        <v>52.475000000000009</v>
      </c>
      <c r="X20" s="8" t="s">
        <v>305</v>
      </c>
      <c r="AA20" s="8"/>
      <c r="AB20" s="9"/>
    </row>
    <row r="21" spans="1:28" ht="15.6" x14ac:dyDescent="0.3">
      <c r="A21" s="404" t="s">
        <v>115</v>
      </c>
      <c r="B21" s="405"/>
      <c r="C21" s="405"/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5"/>
      <c r="Q21" s="405"/>
      <c r="R21" s="405"/>
      <c r="S21" s="405"/>
      <c r="T21" s="8">
        <f>SUM(T19:T20)</f>
        <v>228659.11000000002</v>
      </c>
      <c r="U21" s="3" t="s">
        <v>47</v>
      </c>
      <c r="V21" s="3">
        <f>V22*30</f>
        <v>31.485000000000003</v>
      </c>
    </row>
    <row r="22" spans="1:28" x14ac:dyDescent="0.3">
      <c r="A22" s="4" t="s">
        <v>30</v>
      </c>
      <c r="B22" s="22">
        <v>1367.0270766176827</v>
      </c>
      <c r="C22" s="22">
        <v>1302.8735815644602</v>
      </c>
      <c r="D22" s="22">
        <v>1392</v>
      </c>
      <c r="E22" s="22">
        <v>1584.7349999999999</v>
      </c>
      <c r="F22" s="29">
        <v>2375.6014920974881</v>
      </c>
      <c r="G22" s="29">
        <v>2553.3190472353162</v>
      </c>
      <c r="H22" s="22">
        <v>2505.056880131403</v>
      </c>
      <c r="I22" s="397">
        <v>2584.6804592932435</v>
      </c>
      <c r="J22" s="22">
        <v>2262</v>
      </c>
      <c r="K22" s="22">
        <v>2262</v>
      </c>
      <c r="L22" s="22">
        <v>2262</v>
      </c>
      <c r="M22" s="22">
        <v>2262</v>
      </c>
      <c r="N22" s="22">
        <v>2262</v>
      </c>
      <c r="O22" s="22">
        <v>2262</v>
      </c>
      <c r="P22" s="22">
        <f>P29/P20*1000</f>
        <v>2782.5417826517842</v>
      </c>
      <c r="Q22" s="22">
        <f>Q29/Q20*1000</f>
        <v>2722.7371174783325</v>
      </c>
      <c r="R22" s="22">
        <v>2707</v>
      </c>
      <c r="S22" s="22" t="e">
        <f>Mercado!#REF!</f>
        <v>#REF!</v>
      </c>
      <c r="U22" s="3" t="s">
        <v>49</v>
      </c>
      <c r="V22" s="3">
        <v>1.0495000000000001</v>
      </c>
      <c r="W22" s="14"/>
      <c r="X22" s="8" t="s">
        <v>305</v>
      </c>
      <c r="Y22" s="2"/>
    </row>
    <row r="23" spans="1:28" x14ac:dyDescent="0.3">
      <c r="A23" s="4" t="s">
        <v>4</v>
      </c>
      <c r="B23" s="22">
        <v>1270.7682073969347</v>
      </c>
      <c r="C23" s="22">
        <v>1188.1140349526963</v>
      </c>
      <c r="D23" s="22">
        <v>1287</v>
      </c>
      <c r="E23" s="22">
        <v>1487.7903298042918</v>
      </c>
      <c r="F23" s="29">
        <v>2237.8166055558336</v>
      </c>
      <c r="G23" s="29">
        <v>2425.6530948735503</v>
      </c>
      <c r="H23" s="22">
        <v>2391.853359718265</v>
      </c>
      <c r="I23" s="22">
        <v>2467.8787493377818</v>
      </c>
      <c r="J23" s="22">
        <v>2159.7802200000001</v>
      </c>
      <c r="K23" s="22">
        <v>2159.7802200000001</v>
      </c>
      <c r="L23" s="22">
        <v>2159.7802200000001</v>
      </c>
      <c r="M23" s="22">
        <v>2159.7802200000001</v>
      </c>
      <c r="N23" s="22">
        <v>2159.7802200000001</v>
      </c>
      <c r="O23" s="22">
        <v>2159.7802200000001</v>
      </c>
      <c r="P23" s="22">
        <f>P22*(1-0.04519)</f>
        <v>2656.79871949375</v>
      </c>
      <c r="Q23" s="22">
        <f>Q22*(1-0.04519)</f>
        <v>2599.6966271394867</v>
      </c>
      <c r="R23" s="22" t="e">
        <f>Mercado!#REF!</f>
        <v>#REF!</v>
      </c>
      <c r="S23" s="22" t="e">
        <f>Mercado!#REF!</f>
        <v>#REF!</v>
      </c>
      <c r="U23" s="3" t="s">
        <v>50</v>
      </c>
      <c r="V23" s="3">
        <v>1.7492000000000001</v>
      </c>
      <c r="W23" s="14"/>
      <c r="X23" s="8"/>
      <c r="Y23" s="2"/>
    </row>
    <row r="24" spans="1:28" x14ac:dyDescent="0.3">
      <c r="A24" s="4" t="s">
        <v>34</v>
      </c>
      <c r="B24" s="22">
        <v>924</v>
      </c>
      <c r="C24" s="22">
        <v>976.03220017011131</v>
      </c>
      <c r="D24" s="22">
        <v>982.43693824296895</v>
      </c>
      <c r="E24" s="22">
        <v>1140.3800000000001</v>
      </c>
      <c r="F24" s="29">
        <v>1267.7064439629723</v>
      </c>
      <c r="G24" s="29">
        <v>1541.2082485774649</v>
      </c>
      <c r="H24" s="22">
        <v>1614.5953461896142</v>
      </c>
      <c r="I24" s="22">
        <v>1613.7498064027986</v>
      </c>
      <c r="J24" s="22">
        <v>1613.7498064027986</v>
      </c>
      <c r="K24" s="22">
        <v>1613.7498064027986</v>
      </c>
      <c r="L24" s="22">
        <v>1613.7498064027986</v>
      </c>
      <c r="M24" s="22">
        <v>1613.7498064027986</v>
      </c>
      <c r="N24" s="22">
        <v>1613.7498064027986</v>
      </c>
      <c r="O24" s="22">
        <v>1613.7498064027986</v>
      </c>
      <c r="P24" s="22">
        <f>P34*1000/P20</f>
        <v>1670.7968062969608</v>
      </c>
      <c r="Q24" s="22">
        <f>Q34*1000/Q20</f>
        <v>1525.117324065804</v>
      </c>
      <c r="R24" s="22">
        <f>I24</f>
        <v>1613.7498064027986</v>
      </c>
      <c r="S24" s="22">
        <f>R24</f>
        <v>1613.7498064027986</v>
      </c>
      <c r="T24" s="2"/>
      <c r="U24" s="3" t="s">
        <v>51</v>
      </c>
      <c r="V24" s="3">
        <v>1.6760999999999999</v>
      </c>
      <c r="W24" s="9"/>
      <c r="X24" s="8"/>
      <c r="Y24" s="2"/>
      <c r="AA24" s="8"/>
    </row>
    <row r="25" spans="1:28" x14ac:dyDescent="0.3">
      <c r="A25" s="6" t="s">
        <v>5</v>
      </c>
      <c r="B25" s="23">
        <f t="shared" ref="B25" si="0">(B23-B24)/B23</f>
        <v>0.27288077037059433</v>
      </c>
      <c r="C25" s="23">
        <v>0.17850292862757813</v>
      </c>
      <c r="D25" s="23">
        <v>0.23664573563094876</v>
      </c>
      <c r="E25" s="23">
        <v>0.23350758695278725</v>
      </c>
      <c r="F25" s="42">
        <v>0.43350744613493619</v>
      </c>
      <c r="G25" s="42">
        <v>0.36462132535163344</v>
      </c>
      <c r="H25" s="23">
        <v>0.32496056264093193</v>
      </c>
      <c r="I25" s="23">
        <v>0.34609842285168013</v>
      </c>
      <c r="J25" s="23">
        <v>0.25281758233585516</v>
      </c>
      <c r="K25" s="23">
        <v>0.25281758233585516</v>
      </c>
      <c r="L25" s="23">
        <v>0.25281758233585516</v>
      </c>
      <c r="M25" s="23">
        <v>0.25281758233585516</v>
      </c>
      <c r="N25" s="23">
        <v>0.25281758233585516</v>
      </c>
      <c r="O25" s="23">
        <v>0.25281758233585516</v>
      </c>
      <c r="P25" s="23">
        <f>(P23-P24)/P23</f>
        <v>0.37112405466104365</v>
      </c>
      <c r="Q25" s="23">
        <f>(Q23-Q24)/Q23</f>
        <v>0.41334796216436609</v>
      </c>
      <c r="R25" s="23" t="e">
        <f t="shared" ref="R25:S25" si="1">(R23-R24)/R23</f>
        <v>#REF!</v>
      </c>
      <c r="S25" s="23" t="e">
        <f t="shared" si="1"/>
        <v>#REF!</v>
      </c>
      <c r="X25" s="8"/>
      <c r="Y25" s="2"/>
      <c r="AA25" s="62"/>
      <c r="AB25" s="382"/>
    </row>
    <row r="26" spans="1:28" ht="3.6" customHeight="1" x14ac:dyDescent="0.3">
      <c r="B26" s="28"/>
      <c r="C26" s="28"/>
      <c r="D26" s="28"/>
      <c r="E26" s="28"/>
      <c r="F26" s="43"/>
      <c r="G26" s="43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77"/>
    </row>
    <row r="27" spans="1:28" ht="15.6" x14ac:dyDescent="0.3">
      <c r="A27" s="405" t="s">
        <v>116</v>
      </c>
      <c r="B27" s="405"/>
      <c r="C27" s="405"/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78"/>
      <c r="U27" s="8"/>
      <c r="X27" s="8"/>
    </row>
    <row r="28" spans="1:28" ht="4.2" customHeight="1" x14ac:dyDescent="0.3">
      <c r="A28" s="175"/>
      <c r="B28" s="169"/>
      <c r="C28" s="169"/>
      <c r="D28" s="169"/>
      <c r="E28" s="169"/>
      <c r="F28" s="176"/>
      <c r="G28" s="176"/>
      <c r="H28" s="177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78"/>
      <c r="U28" s="8"/>
      <c r="X28" s="8"/>
    </row>
    <row r="29" spans="1:28" x14ac:dyDescent="0.3">
      <c r="A29" s="4" t="s">
        <v>6</v>
      </c>
      <c r="B29" s="22">
        <v>270527.53198999999</v>
      </c>
      <c r="C29" s="22">
        <v>322060.98145999998</v>
      </c>
      <c r="D29" s="22">
        <v>388182</v>
      </c>
      <c r="E29" s="22">
        <v>360741.15172499995</v>
      </c>
      <c r="F29" s="29">
        <v>559028.80369999993</v>
      </c>
      <c r="G29" s="29">
        <v>565790.46296000003</v>
      </c>
      <c r="H29" s="25">
        <v>556378.38145999995</v>
      </c>
      <c r="I29" s="25">
        <v>606698.07863806165</v>
      </c>
      <c r="J29" s="25">
        <v>567325.80916762643</v>
      </c>
      <c r="K29" s="25">
        <v>565158.71408888639</v>
      </c>
      <c r="L29" s="25">
        <v>594598.94625401625</v>
      </c>
      <c r="M29" s="25">
        <v>636788.56476701424</v>
      </c>
      <c r="N29" s="25">
        <v>674058.14883345424</v>
      </c>
      <c r="O29" s="25">
        <v>687904.68290644279</v>
      </c>
      <c r="P29" s="25">
        <f>27319190/1000</f>
        <v>27319.19</v>
      </c>
      <c r="Q29" s="25">
        <f>37770054.34/1000</f>
        <v>37770.054340000002</v>
      </c>
      <c r="R29" s="25">
        <f t="shared" ref="R29:S29" si="2">R22*R20/1000</f>
        <v>635409.95675818017</v>
      </c>
      <c r="S29" s="25" t="e">
        <f t="shared" si="2"/>
        <v>#REF!</v>
      </c>
      <c r="T29" s="8"/>
      <c r="U29" s="8"/>
      <c r="V29" s="8"/>
      <c r="X29" s="16"/>
      <c r="Y29" s="8">
        <f t="shared" ref="Y29:Y34" si="3">H29/12</f>
        <v>46364.865121666662</v>
      </c>
      <c r="Z29" s="8"/>
    </row>
    <row r="30" spans="1:28" x14ac:dyDescent="0.3">
      <c r="A30" s="4" t="s">
        <v>7</v>
      </c>
      <c r="B30" s="22">
        <v>7423.2100799999798</v>
      </c>
      <c r="C30" s="22">
        <v>6956.4970799999401</v>
      </c>
      <c r="D30" s="25">
        <v>4847.3073400000003</v>
      </c>
      <c r="E30" s="25">
        <v>4500</v>
      </c>
      <c r="F30" s="44">
        <v>5596.1962999999523</v>
      </c>
      <c r="G30" s="44">
        <v>4233.5370399999665</v>
      </c>
      <c r="H30" s="25">
        <v>3569.5072799999998</v>
      </c>
      <c r="I30" s="44">
        <v>3650.6029800000006</v>
      </c>
      <c r="J30" s="25">
        <v>4000</v>
      </c>
      <c r="K30" s="25">
        <v>4000</v>
      </c>
      <c r="L30" s="25">
        <v>4000</v>
      </c>
      <c r="M30" s="25">
        <v>4000</v>
      </c>
      <c r="N30" s="25">
        <v>4000</v>
      </c>
      <c r="O30" s="25">
        <v>4000</v>
      </c>
      <c r="P30" s="25">
        <v>725.21600000000001</v>
      </c>
      <c r="Q30" s="25">
        <f>2440.8</f>
        <v>2440.8000000000002</v>
      </c>
      <c r="R30" s="25">
        <f>I30</f>
        <v>3650.6029800000006</v>
      </c>
      <c r="S30" s="25">
        <f>J30</f>
        <v>4000</v>
      </c>
      <c r="T30" s="302"/>
      <c r="U30" s="15"/>
      <c r="V30" s="1"/>
      <c r="X30" s="173"/>
      <c r="Y30" s="8">
        <f t="shared" si="3"/>
        <v>297.45893999999998</v>
      </c>
      <c r="AB30" s="383"/>
    </row>
    <row r="31" spans="1:28" x14ac:dyDescent="0.3">
      <c r="A31" s="4" t="s">
        <v>191</v>
      </c>
      <c r="B31" s="22">
        <v>0</v>
      </c>
      <c r="C31" s="22">
        <v>0</v>
      </c>
      <c r="D31" s="25">
        <v>0</v>
      </c>
      <c r="E31" s="25">
        <v>0</v>
      </c>
      <c r="F31" s="44">
        <v>-16649</v>
      </c>
      <c r="G31" s="44">
        <v>-12836.380999999999</v>
      </c>
      <c r="H31" s="44">
        <v>-1961.38526</v>
      </c>
      <c r="I31" s="44">
        <v>6954.15</v>
      </c>
      <c r="J31" s="25">
        <v>6954.15</v>
      </c>
      <c r="K31" s="25">
        <v>6954.15</v>
      </c>
      <c r="L31" s="25">
        <v>6954.15</v>
      </c>
      <c r="M31" s="25">
        <v>6954.15</v>
      </c>
      <c r="N31" s="25">
        <v>6954.15</v>
      </c>
      <c r="O31" s="25">
        <v>6954.15</v>
      </c>
      <c r="P31" s="25">
        <v>16658</v>
      </c>
      <c r="Q31" s="25">
        <v>22845.253000000001</v>
      </c>
      <c r="R31" s="25">
        <f>I31</f>
        <v>6954.15</v>
      </c>
      <c r="S31" s="44">
        <f>(48850*(2691-Mercado!Q3))/1000</f>
        <v>14215.35</v>
      </c>
      <c r="T31" s="14"/>
      <c r="U31" s="1"/>
      <c r="V31" s="1"/>
      <c r="W31" s="1"/>
      <c r="Y31" s="8">
        <f t="shared" si="3"/>
        <v>-163.44877166666666</v>
      </c>
      <c r="AB31" s="384"/>
    </row>
    <row r="32" spans="1:28" x14ac:dyDescent="0.3">
      <c r="A32" s="4" t="s">
        <v>8</v>
      </c>
      <c r="B32" s="22">
        <v>19049.128410000001</v>
      </c>
      <c r="C32" s="22">
        <v>28367.734779999999</v>
      </c>
      <c r="D32" s="22">
        <v>23319.692660000001</v>
      </c>
      <c r="E32" s="22">
        <v>22068</v>
      </c>
      <c r="F32" s="29">
        <v>35209.672870000002</v>
      </c>
      <c r="G32" s="29">
        <v>26281.781446981109</v>
      </c>
      <c r="H32" s="22">
        <v>26246.74438</v>
      </c>
      <c r="I32" s="22">
        <v>28599.39508986213</v>
      </c>
      <c r="J32" s="22">
        <v>25637.453316285009</v>
      </c>
      <c r="K32" s="22">
        <v>25539.522289676752</v>
      </c>
      <c r="L32" s="22">
        <v>26869.926381218967</v>
      </c>
      <c r="M32" s="22">
        <v>28776.475241821347</v>
      </c>
      <c r="N32" s="22">
        <v>30460.687745783769</v>
      </c>
      <c r="O32" s="22">
        <v>31086.41262054212</v>
      </c>
      <c r="P32" s="22">
        <v>1013</v>
      </c>
      <c r="Q32" s="22">
        <f>2610263.45/1000</f>
        <v>2610.2634500000004</v>
      </c>
      <c r="R32" s="22" t="e">
        <f t="shared" ref="R32:S32" si="4">(R22-R23)*R19/1000</f>
        <v>#REF!</v>
      </c>
      <c r="S32" s="22" t="e">
        <f t="shared" si="4"/>
        <v>#REF!</v>
      </c>
      <c r="T32" s="8"/>
      <c r="U32" s="53"/>
      <c r="V32" s="1"/>
      <c r="Y32" s="8">
        <f t="shared" si="3"/>
        <v>2187.2286983333333</v>
      </c>
    </row>
    <row r="33" spans="1:28" x14ac:dyDescent="0.3">
      <c r="A33" s="4" t="s">
        <v>9</v>
      </c>
      <c r="B33" s="22">
        <v>258901.61366</v>
      </c>
      <c r="C33" s="22">
        <v>300649.74375999998</v>
      </c>
      <c r="D33" s="22">
        <v>360015</v>
      </c>
      <c r="E33" s="22">
        <v>343173.15172499995</v>
      </c>
      <c r="F33" s="29">
        <v>512766.32712999987</v>
      </c>
      <c r="G33" s="29">
        <v>530905.83755301882</v>
      </c>
      <c r="H33" s="29">
        <v>531739.75909999991</v>
      </c>
      <c r="I33" s="29">
        <v>581749.28652819945</v>
      </c>
      <c r="J33" s="22">
        <v>545688.35585134139</v>
      </c>
      <c r="K33" s="22">
        <v>543619.19179920969</v>
      </c>
      <c r="L33" s="22">
        <v>571729.0198727973</v>
      </c>
      <c r="M33" s="22">
        <v>612012.08952519286</v>
      </c>
      <c r="N33" s="22">
        <v>647597.46108767041</v>
      </c>
      <c r="O33" s="22">
        <v>660818.27028590068</v>
      </c>
      <c r="P33" s="22">
        <f t="shared" ref="P33:Q33" si="5">P29+P30-P32</f>
        <v>27031.405999999999</v>
      </c>
      <c r="Q33" s="22">
        <f t="shared" si="5"/>
        <v>37600.590890000007</v>
      </c>
      <c r="R33" s="22" t="e">
        <f t="shared" ref="R33:S33" si="6">R29+R30-R32</f>
        <v>#REF!</v>
      </c>
      <c r="S33" s="22" t="e">
        <f t="shared" si="6"/>
        <v>#REF!</v>
      </c>
      <c r="T33" s="74"/>
      <c r="U33" s="14"/>
      <c r="Y33" s="8">
        <f t="shared" si="3"/>
        <v>44311.646591666657</v>
      </c>
    </row>
    <row r="34" spans="1:28" x14ac:dyDescent="0.3">
      <c r="A34" s="4" t="s">
        <v>10</v>
      </c>
      <c r="B34" s="22">
        <v>186171.16930000001</v>
      </c>
      <c r="C34" s="22">
        <v>249737.70324999999</v>
      </c>
      <c r="D34" s="22">
        <v>273492</v>
      </c>
      <c r="E34" s="22">
        <v>259590.4013</v>
      </c>
      <c r="F34" s="29">
        <v>301257.88672000001</v>
      </c>
      <c r="G34" s="29">
        <v>346125.63475999999</v>
      </c>
      <c r="H34" s="22">
        <v>358809.96175999998</v>
      </c>
      <c r="I34" s="22">
        <v>378793.01614515099</v>
      </c>
      <c r="J34" s="22">
        <v>404740.01534552081</v>
      </c>
      <c r="K34" s="22">
        <v>403193.97234650532</v>
      </c>
      <c r="L34" s="22">
        <v>424197.14164665196</v>
      </c>
      <c r="M34" s="22">
        <v>454295.94302046206</v>
      </c>
      <c r="N34" s="22">
        <v>480884.70697799098</v>
      </c>
      <c r="O34" s="22">
        <v>490763.06315820105</v>
      </c>
      <c r="P34" s="22">
        <v>16404</v>
      </c>
      <c r="Q34" s="22">
        <f>21156564.78/1000</f>
        <v>21156.564780000001</v>
      </c>
      <c r="R34" s="22">
        <f t="shared" ref="R34:S34" si="7">R24*R20/1000</f>
        <v>378793.01614515099</v>
      </c>
      <c r="S34" s="22">
        <f t="shared" si="7"/>
        <v>378793.01614515099</v>
      </c>
      <c r="T34" s="1"/>
      <c r="U34" s="14"/>
      <c r="Y34" s="8">
        <f t="shared" si="3"/>
        <v>29900.830146666663</v>
      </c>
    </row>
    <row r="35" spans="1:28" x14ac:dyDescent="0.3">
      <c r="A35" s="4" t="s">
        <v>40</v>
      </c>
      <c r="B35" s="22">
        <v>7424</v>
      </c>
      <c r="C35" s="22">
        <v>6297</v>
      </c>
      <c r="D35" s="22">
        <v>7893</v>
      </c>
      <c r="E35" s="22">
        <v>3139</v>
      </c>
      <c r="F35" s="29"/>
      <c r="G35" s="29"/>
      <c r="H35" s="22"/>
      <c r="I35" s="169"/>
      <c r="J35" s="22"/>
      <c r="K35" s="22"/>
      <c r="L35" s="22"/>
      <c r="M35" s="22"/>
      <c r="N35" s="22"/>
      <c r="O35" s="22"/>
      <c r="P35" s="22"/>
      <c r="Q35" s="22"/>
      <c r="R35" s="22"/>
      <c r="S35" s="22"/>
      <c r="U35" s="1"/>
    </row>
    <row r="36" spans="1:28" x14ac:dyDescent="0.3">
      <c r="A36" s="4" t="s">
        <v>11</v>
      </c>
      <c r="B36" s="22">
        <v>72730.444359999994</v>
      </c>
      <c r="C36" s="22">
        <v>50912.040509999999</v>
      </c>
      <c r="D36" s="22">
        <v>86523</v>
      </c>
      <c r="E36" s="22">
        <v>83583</v>
      </c>
      <c r="F36" s="29">
        <v>211508.44040999986</v>
      </c>
      <c r="G36" s="29">
        <v>184780.20279301883</v>
      </c>
      <c r="H36" s="22">
        <v>172929.79733999993</v>
      </c>
      <c r="I36" s="22">
        <v>202956.27038304845</v>
      </c>
      <c r="J36" s="22">
        <v>140948.34050582058</v>
      </c>
      <c r="K36" s="22">
        <v>140425.21945270436</v>
      </c>
      <c r="L36" s="22">
        <v>147531.87822614535</v>
      </c>
      <c r="M36" s="22">
        <v>157716.1465047308</v>
      </c>
      <c r="N36" s="22">
        <v>166712.75410967943</v>
      </c>
      <c r="O36" s="22">
        <v>170055.20712769963</v>
      </c>
      <c r="P36" s="22">
        <f t="shared" ref="P36" si="8">P33-P34</f>
        <v>10627.405999999999</v>
      </c>
      <c r="Q36" s="22">
        <f t="shared" ref="Q36:S36" si="9">Q33-Q34</f>
        <v>16444.026110000006</v>
      </c>
      <c r="R36" s="22" t="e">
        <f t="shared" si="9"/>
        <v>#REF!</v>
      </c>
      <c r="S36" s="22" t="e">
        <f t="shared" si="9"/>
        <v>#REF!</v>
      </c>
      <c r="T36" s="1"/>
      <c r="U36" s="8"/>
      <c r="V36">
        <v>2022</v>
      </c>
      <c r="W36" s="15"/>
      <c r="X36">
        <v>2023</v>
      </c>
      <c r="Y36" s="8">
        <f>H36/12</f>
        <v>14410.816444999995</v>
      </c>
    </row>
    <row r="37" spans="1:28" x14ac:dyDescent="0.3">
      <c r="A37" s="4" t="s">
        <v>12</v>
      </c>
      <c r="B37" s="22">
        <v>44022</v>
      </c>
      <c r="C37" s="22">
        <v>33583</v>
      </c>
      <c r="D37" s="22">
        <v>38636</v>
      </c>
      <c r="E37" s="22">
        <v>16102</v>
      </c>
      <c r="F37" s="29">
        <v>32298.478580000003</v>
      </c>
      <c r="G37" s="29">
        <v>49395</v>
      </c>
      <c r="H37" s="29">
        <v>50781.667140000005</v>
      </c>
      <c r="I37" s="29">
        <v>51165.32791</v>
      </c>
      <c r="J37" s="29">
        <v>51165.32791</v>
      </c>
      <c r="K37" s="29">
        <v>51165.32791</v>
      </c>
      <c r="L37" s="29">
        <v>51165.32791</v>
      </c>
      <c r="M37" s="29">
        <v>51165.32791</v>
      </c>
      <c r="N37" s="29">
        <v>51165.32791</v>
      </c>
      <c r="O37" s="29">
        <v>51165.32791</v>
      </c>
      <c r="P37" s="29">
        <f>5271000/1000</f>
        <v>5271</v>
      </c>
      <c r="Q37" s="29">
        <f>5761825.16/1000</f>
        <v>5761.8251600000003</v>
      </c>
      <c r="R37" s="29">
        <v>63811.32791</v>
      </c>
      <c r="S37" s="29">
        <v>63811.32791</v>
      </c>
      <c r="T37" s="1"/>
      <c r="U37" t="s">
        <v>313</v>
      </c>
      <c r="V37" s="15">
        <v>-60837</v>
      </c>
      <c r="W37" s="17"/>
      <c r="X37" s="15">
        <v>40756</v>
      </c>
      <c r="Y37" s="8">
        <f>H37/12</f>
        <v>4231.8055950000007</v>
      </c>
      <c r="Z37" s="17"/>
      <c r="AA37" s="17"/>
      <c r="AB37" s="17"/>
    </row>
    <row r="38" spans="1:28" x14ac:dyDescent="0.3">
      <c r="A38" s="300" t="s">
        <v>311</v>
      </c>
      <c r="B38" s="22"/>
      <c r="C38" s="22"/>
      <c r="D38" s="22"/>
      <c r="E38" s="22"/>
      <c r="F38" s="29"/>
      <c r="G38" s="301">
        <v>61296.765350000001</v>
      </c>
      <c r="H38" s="301">
        <v>59920.314830000003</v>
      </c>
      <c r="I38" s="301">
        <v>46931.89718</v>
      </c>
      <c r="J38" s="301">
        <v>46931.89718</v>
      </c>
      <c r="K38" s="301">
        <v>46931.89718</v>
      </c>
      <c r="L38" s="301">
        <v>46931.89718</v>
      </c>
      <c r="M38" s="301">
        <v>46931.89718</v>
      </c>
      <c r="N38" s="301">
        <v>46931.89718</v>
      </c>
      <c r="O38" s="301">
        <v>46931.89718</v>
      </c>
      <c r="P38" s="301"/>
      <c r="Q38" s="301"/>
      <c r="R38" s="301">
        <v>46931.89718</v>
      </c>
      <c r="S38" s="301">
        <v>46931.89718</v>
      </c>
      <c r="U38" s="301"/>
      <c r="V38" s="17"/>
      <c r="W38" s="17"/>
      <c r="X38" s="17"/>
      <c r="Y38" s="17"/>
      <c r="Z38" s="17"/>
      <c r="AA38" s="17"/>
      <c r="AB38" s="17"/>
    </row>
    <row r="39" spans="1:28" x14ac:dyDescent="0.3">
      <c r="A39" s="300" t="s">
        <v>312</v>
      </c>
      <c r="B39" s="22"/>
      <c r="C39" s="22"/>
      <c r="D39" s="22"/>
      <c r="E39" s="22"/>
      <c r="F39" s="29"/>
      <c r="G39" s="301">
        <v>8560.1964200000002</v>
      </c>
      <c r="H39" s="301">
        <v>12693.826429999999</v>
      </c>
      <c r="I39" s="301">
        <v>16879.43073</v>
      </c>
      <c r="J39" s="301">
        <v>16879.43073</v>
      </c>
      <c r="K39" s="301">
        <v>16879.43073</v>
      </c>
      <c r="L39" s="301">
        <v>16879.43073</v>
      </c>
      <c r="M39" s="301">
        <v>16879.43073</v>
      </c>
      <c r="N39" s="301">
        <v>16879.43073</v>
      </c>
      <c r="O39" s="301">
        <v>16879.43073</v>
      </c>
      <c r="P39" s="301"/>
      <c r="Q39" s="301"/>
      <c r="R39" s="301">
        <v>16879.43073</v>
      </c>
      <c r="S39" s="301">
        <v>16879.43073</v>
      </c>
      <c r="T39" s="189"/>
      <c r="V39" s="17"/>
      <c r="W39" s="17"/>
      <c r="X39" s="17"/>
      <c r="Y39" s="17"/>
      <c r="Z39" s="17"/>
      <c r="AA39" s="17"/>
      <c r="AB39" s="17"/>
    </row>
    <row r="40" spans="1:28" x14ac:dyDescent="0.3">
      <c r="A40" s="300" t="s">
        <v>356</v>
      </c>
      <c r="B40" s="22"/>
      <c r="C40" s="22"/>
      <c r="D40" s="22"/>
      <c r="E40" s="22"/>
      <c r="F40" s="29"/>
      <c r="G40" s="301"/>
      <c r="H40" s="301">
        <v>-21832.474119999999</v>
      </c>
      <c r="I40" s="301">
        <v>-12646</v>
      </c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189"/>
      <c r="V40" s="17"/>
      <c r="W40" s="17"/>
      <c r="X40" s="17"/>
      <c r="Y40" s="17"/>
      <c r="Z40" s="17"/>
      <c r="AA40" s="17"/>
      <c r="AB40" s="17"/>
    </row>
    <row r="41" spans="1:28" x14ac:dyDescent="0.3">
      <c r="A41" s="4" t="s">
        <v>13</v>
      </c>
      <c r="B41" s="22">
        <v>28708.444360000001</v>
      </c>
      <c r="C41" s="22">
        <v>17329.040509999999</v>
      </c>
      <c r="D41" s="22">
        <v>47887</v>
      </c>
      <c r="E41" s="22">
        <v>67481</v>
      </c>
      <c r="F41" s="29">
        <v>179209.96182999987</v>
      </c>
      <c r="G41" s="29">
        <v>135385.20279301883</v>
      </c>
      <c r="H41" s="22">
        <v>122148.13019999993</v>
      </c>
      <c r="I41" s="22">
        <v>151790.94247304846</v>
      </c>
      <c r="J41" s="22">
        <v>89783.01259582059</v>
      </c>
      <c r="K41" s="22">
        <v>89259.891542704368</v>
      </c>
      <c r="L41" s="22">
        <v>96366.550316145353</v>
      </c>
      <c r="M41" s="22">
        <v>106550.81859473081</v>
      </c>
      <c r="N41" s="22">
        <v>115547.42619967944</v>
      </c>
      <c r="O41" s="22">
        <v>118889.87921769964</v>
      </c>
      <c r="P41" s="22">
        <f t="shared" ref="P41:S41" si="10">P36-P37</f>
        <v>5356.405999999999</v>
      </c>
      <c r="Q41" s="22">
        <f t="shared" si="10"/>
        <v>10682.200950000006</v>
      </c>
      <c r="R41" s="22" t="e">
        <f t="shared" si="10"/>
        <v>#REF!</v>
      </c>
      <c r="S41" s="22" t="e">
        <f t="shared" si="10"/>
        <v>#REF!</v>
      </c>
      <c r="W41" s="1"/>
      <c r="Y41" s="8">
        <f>H41/12</f>
        <v>10179.010849999993</v>
      </c>
    </row>
    <row r="42" spans="1:28" x14ac:dyDescent="0.3">
      <c r="A42" s="4" t="s">
        <v>31</v>
      </c>
      <c r="B42" s="22">
        <v>11944</v>
      </c>
      <c r="C42" s="22">
        <v>20176</v>
      </c>
      <c r="D42" s="22">
        <v>17744</v>
      </c>
      <c r="E42" s="22">
        <v>16914</v>
      </c>
      <c r="F42" s="29">
        <v>36871</v>
      </c>
      <c r="G42" s="29">
        <v>37858.618999999999</v>
      </c>
      <c r="H42" s="29">
        <v>27440.026690000002</v>
      </c>
      <c r="I42" s="22">
        <v>34652</v>
      </c>
      <c r="J42" s="397">
        <v>35214.083311597409</v>
      </c>
      <c r="K42" s="397">
        <v>37007.528299525773</v>
      </c>
      <c r="L42" s="397">
        <v>38950.94577944756</v>
      </c>
      <c r="M42" s="397">
        <v>39987.560092095846</v>
      </c>
      <c r="N42" s="397">
        <v>40590.153439530834</v>
      </c>
      <c r="O42" s="397">
        <v>37650.024833359465</v>
      </c>
      <c r="P42" s="22">
        <v>19000</v>
      </c>
      <c r="Q42" s="22">
        <f>19563</f>
        <v>19563</v>
      </c>
      <c r="R42" s="22">
        <f t="shared" ref="R42:S42" si="11">51571.99651-(188000*0.09)-7073.066</f>
        <v>27578.930509999998</v>
      </c>
      <c r="S42" s="22">
        <f t="shared" si="11"/>
        <v>27578.930509999998</v>
      </c>
      <c r="T42" s="8"/>
      <c r="Y42" s="8">
        <f>H42/12</f>
        <v>2286.6688908333335</v>
      </c>
    </row>
    <row r="43" spans="1:28" x14ac:dyDescent="0.3">
      <c r="A43" s="4" t="s">
        <v>14</v>
      </c>
      <c r="B43" s="22">
        <v>16764.444360000001</v>
      </c>
      <c r="C43" s="22">
        <v>-2846.9594900000102</v>
      </c>
      <c r="D43" s="22">
        <v>30143</v>
      </c>
      <c r="E43" s="22">
        <v>50567</v>
      </c>
      <c r="F43" s="29">
        <v>142338.96182999987</v>
      </c>
      <c r="G43" s="29">
        <v>97526.583793018828</v>
      </c>
      <c r="H43" s="22">
        <v>94708.103509999928</v>
      </c>
      <c r="I43" s="22">
        <v>117138.94247304846</v>
      </c>
      <c r="J43" s="22">
        <v>54568.929284223181</v>
      </c>
      <c r="K43" s="22">
        <v>52252.363243178595</v>
      </c>
      <c r="L43" s="22">
        <v>57415.604536697792</v>
      </c>
      <c r="M43" s="22">
        <v>66563.25850263497</v>
      </c>
      <c r="N43" s="22">
        <v>74957.272760148597</v>
      </c>
      <c r="O43" s="22">
        <v>81239.854384340171</v>
      </c>
      <c r="P43" s="22">
        <f>P41-P42</f>
        <v>-13643.594000000001</v>
      </c>
      <c r="Q43" s="22">
        <f>Q41-Q42</f>
        <v>-8880.7990499999942</v>
      </c>
      <c r="R43" s="22" t="e">
        <f t="shared" ref="R43:S43" si="12">R41-R42</f>
        <v>#REF!</v>
      </c>
      <c r="S43" s="22" t="e">
        <f t="shared" si="12"/>
        <v>#REF!</v>
      </c>
      <c r="Y43" s="8">
        <f>H43/12</f>
        <v>7892.3419591666607</v>
      </c>
    </row>
    <row r="44" spans="1:28" x14ac:dyDescent="0.3">
      <c r="A44" s="4" t="s">
        <v>106</v>
      </c>
      <c r="B44" s="22">
        <v>161</v>
      </c>
      <c r="C44" s="22">
        <v>-5249</v>
      </c>
      <c r="D44" s="22">
        <v>-3113</v>
      </c>
      <c r="E44" s="22">
        <v>7203</v>
      </c>
      <c r="F44" s="29">
        <v>26728</v>
      </c>
      <c r="G44" s="29">
        <v>-10841</v>
      </c>
      <c r="H44" s="22">
        <v>-9622.0856299999996</v>
      </c>
      <c r="I44" s="22">
        <v>-13852</v>
      </c>
      <c r="J44" s="22">
        <v>8321.7617158440353</v>
      </c>
      <c r="K44" s="22">
        <v>7968.4853945847353</v>
      </c>
      <c r="L44" s="22">
        <v>8755.8796918464141</v>
      </c>
      <c r="M44" s="22">
        <v>10150.896921651833</v>
      </c>
      <c r="N44" s="22">
        <v>11430.98409592266</v>
      </c>
      <c r="O44" s="22">
        <v>12389.077793611876</v>
      </c>
      <c r="P44" s="22">
        <v>0</v>
      </c>
      <c r="Q44" s="22">
        <v>0</v>
      </c>
      <c r="R44" s="22" t="e">
        <f>-(R43*0.25*0.25+R43*9%)</f>
        <v>#REF!</v>
      </c>
      <c r="S44" s="22" t="e">
        <f>-(S43*0.25*0.25+S43*9%)</f>
        <v>#REF!</v>
      </c>
      <c r="T44" s="299"/>
      <c r="U44" s="59" t="s">
        <v>315</v>
      </c>
      <c r="V44">
        <v>2363.317</v>
      </c>
      <c r="X44" t="s">
        <v>316</v>
      </c>
      <c r="Y44" s="8">
        <f>H44/12</f>
        <v>-801.84046916666659</v>
      </c>
    </row>
    <row r="45" spans="1:28" hidden="1" x14ac:dyDescent="0.3">
      <c r="A45" s="4" t="s">
        <v>117</v>
      </c>
      <c r="B45" s="22"/>
      <c r="C45" s="22"/>
      <c r="D45" s="22"/>
      <c r="E45" s="22"/>
      <c r="F45" s="29">
        <v>63210</v>
      </c>
      <c r="G45" s="29">
        <v>-60837</v>
      </c>
      <c r="H45" s="22">
        <v>40756.336969999997</v>
      </c>
      <c r="I45" s="22">
        <v>0</v>
      </c>
      <c r="J45" s="22"/>
      <c r="K45" s="22"/>
      <c r="L45" s="22"/>
      <c r="M45" s="22"/>
      <c r="N45" s="22"/>
      <c r="O45" s="22"/>
      <c r="P45" s="22"/>
      <c r="Q45" s="22"/>
      <c r="R45" s="22"/>
      <c r="S45" s="22"/>
      <c r="U45" s="59"/>
    </row>
    <row r="46" spans="1:28" hidden="1" x14ac:dyDescent="0.3">
      <c r="A46" s="4" t="s">
        <v>358</v>
      </c>
      <c r="B46" s="22"/>
      <c r="C46" s="22"/>
      <c r="D46" s="22"/>
      <c r="E46" s="22"/>
      <c r="F46" s="29"/>
      <c r="G46" s="29"/>
      <c r="H46" s="22">
        <v>11283.772000000001</v>
      </c>
      <c r="I46" s="22">
        <v>0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U46" s="59"/>
      <c r="AA46" s="8"/>
    </row>
    <row r="47" spans="1:28" hidden="1" x14ac:dyDescent="0.3">
      <c r="A47" s="4" t="s">
        <v>360</v>
      </c>
      <c r="B47" s="22"/>
      <c r="C47" s="22"/>
      <c r="D47" s="22"/>
      <c r="E47" s="22"/>
      <c r="F47" s="29"/>
      <c r="G47" s="29"/>
      <c r="H47" s="22">
        <v>9622.0856299999996</v>
      </c>
      <c r="I47" s="22">
        <v>0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  <c r="U47" s="59"/>
    </row>
    <row r="48" spans="1:28" hidden="1" x14ac:dyDescent="0.3">
      <c r="A48" s="4" t="s">
        <v>359</v>
      </c>
      <c r="B48" s="22"/>
      <c r="C48" s="22"/>
      <c r="D48" s="22"/>
      <c r="E48" s="22"/>
      <c r="F48" s="29"/>
      <c r="G48" s="29"/>
      <c r="H48" s="22">
        <v>257.36611999999997</v>
      </c>
      <c r="I48" s="22">
        <v>0</v>
      </c>
      <c r="J48" s="22"/>
      <c r="K48" s="22"/>
      <c r="L48" s="22"/>
      <c r="M48" s="22"/>
      <c r="N48" s="22"/>
      <c r="O48" s="22"/>
      <c r="P48" s="22"/>
      <c r="Q48" s="22"/>
      <c r="R48" s="22"/>
      <c r="S48" s="22"/>
      <c r="U48" s="59"/>
    </row>
    <row r="49" spans="1:28" x14ac:dyDescent="0.3">
      <c r="A49" s="6" t="s">
        <v>15</v>
      </c>
      <c r="B49" s="27">
        <v>16603.444360000001</v>
      </c>
      <c r="C49" s="27">
        <v>2402.0405099999898</v>
      </c>
      <c r="D49" s="27">
        <v>33256</v>
      </c>
      <c r="E49" s="27">
        <v>43364</v>
      </c>
      <c r="F49" s="30">
        <v>115610.96182999987</v>
      </c>
      <c r="G49" s="30">
        <v>108367.58379301883</v>
      </c>
      <c r="H49" s="305">
        <v>125842.35484999992</v>
      </c>
      <c r="I49" s="305">
        <v>103286.94247304846</v>
      </c>
      <c r="J49" s="27">
        <v>46247.167568379147</v>
      </c>
      <c r="K49" s="27">
        <v>44283.87784859386</v>
      </c>
      <c r="L49" s="27">
        <v>48659.724844851378</v>
      </c>
      <c r="M49" s="27">
        <v>56412.361580983139</v>
      </c>
      <c r="N49" s="27">
        <v>63526.28866422594</v>
      </c>
      <c r="O49" s="27">
        <v>68850.776590728288</v>
      </c>
      <c r="P49" s="27">
        <f t="shared" ref="P49" si="13">P43-P44</f>
        <v>-13643.594000000001</v>
      </c>
      <c r="Q49" s="27">
        <f t="shared" ref="Q49:S49" si="14">Q43-Q44</f>
        <v>-8880.7990499999942</v>
      </c>
      <c r="R49" s="27" t="e">
        <f t="shared" si="14"/>
        <v>#REF!</v>
      </c>
      <c r="S49" s="27" t="e">
        <f t="shared" si="14"/>
        <v>#REF!</v>
      </c>
      <c r="T49" s="306"/>
      <c r="U49" s="8"/>
      <c r="V49" s="8"/>
      <c r="Y49" s="8">
        <f>H49/12</f>
        <v>10486.862904166659</v>
      </c>
    </row>
    <row r="50" spans="1:28" x14ac:dyDescent="0.3">
      <c r="A50" s="310" t="s">
        <v>16</v>
      </c>
      <c r="B50" s="311">
        <f>B41+B51+B52</f>
        <v>182378.44435999999</v>
      </c>
      <c r="C50" s="311">
        <f>C41+C51+C52</f>
        <v>168058.04050999999</v>
      </c>
      <c r="D50" s="311">
        <f>D41+D51+D52</f>
        <v>205810</v>
      </c>
      <c r="E50" s="311">
        <f>E41+E51+E52</f>
        <v>235636.04399999999</v>
      </c>
      <c r="F50" s="311">
        <f>F41+F51+F52</f>
        <v>382577.96182999987</v>
      </c>
      <c r="G50" s="311">
        <f>G41+G51+G52</f>
        <v>343421.20279301883</v>
      </c>
      <c r="H50" s="311">
        <f>H41+H51+H52</f>
        <v>370750.10532999993</v>
      </c>
      <c r="I50" s="311">
        <f>I41+I51+I52</f>
        <v>415790.94247304846</v>
      </c>
      <c r="J50" s="311">
        <f>J41+J51+J52</f>
        <v>353783.01259582059</v>
      </c>
      <c r="K50" s="311">
        <f>K41+K51+K52</f>
        <v>353259.89154270437</v>
      </c>
      <c r="L50" s="311">
        <f>L41+L51+L52</f>
        <v>360366.55031614535</v>
      </c>
      <c r="M50" s="311">
        <f>M41+M51+M52</f>
        <v>370550.81859473081</v>
      </c>
      <c r="N50" s="311">
        <f>N41+N51+N52</f>
        <v>379547.42619967944</v>
      </c>
      <c r="O50" s="311">
        <f>O41+O51+O52</f>
        <v>382889.87921769964</v>
      </c>
      <c r="P50" s="311">
        <f>P41+P51+P52</f>
        <v>5356.405999999999</v>
      </c>
      <c r="Q50" s="311">
        <f>Q41+Q51+Q52</f>
        <v>10682.200950000006</v>
      </c>
      <c r="R50" s="311" t="e">
        <f>R41+R51+R52</f>
        <v>#REF!</v>
      </c>
      <c r="S50" s="311" t="e">
        <f>S41+S51+S52</f>
        <v>#REF!</v>
      </c>
      <c r="U50" s="8"/>
      <c r="AB50" s="9"/>
    </row>
    <row r="51" spans="1:28" x14ac:dyDescent="0.3">
      <c r="A51" s="4" t="s">
        <v>41</v>
      </c>
      <c r="B51" s="22">
        <v>36584</v>
      </c>
      <c r="C51" s="22">
        <v>37329</v>
      </c>
      <c r="D51" s="22">
        <v>45595</v>
      </c>
      <c r="E51" s="22">
        <v>50200</v>
      </c>
      <c r="F51" s="29">
        <v>53282</v>
      </c>
      <c r="G51" s="29">
        <v>63670</v>
      </c>
      <c r="H51" s="29">
        <v>54950.284959999997</v>
      </c>
      <c r="I51" s="29">
        <v>65000</v>
      </c>
      <c r="J51" s="390">
        <v>65000</v>
      </c>
      <c r="K51" s="390">
        <v>65000</v>
      </c>
      <c r="L51" s="390">
        <v>65000</v>
      </c>
      <c r="M51" s="390">
        <v>65000</v>
      </c>
      <c r="N51" s="390">
        <v>65000</v>
      </c>
      <c r="O51" s="390">
        <v>65000</v>
      </c>
      <c r="P51" s="29">
        <v>0</v>
      </c>
      <c r="Q51" s="29">
        <v>0</v>
      </c>
      <c r="R51" s="29">
        <v>65000</v>
      </c>
      <c r="S51" s="29">
        <v>65000</v>
      </c>
      <c r="T51" s="8"/>
      <c r="U51" s="8"/>
      <c r="AB51" s="9"/>
    </row>
    <row r="52" spans="1:28" x14ac:dyDescent="0.3">
      <c r="A52" s="4" t="s">
        <v>118</v>
      </c>
      <c r="B52" s="22">
        <v>117086</v>
      </c>
      <c r="C52" s="22">
        <v>113400</v>
      </c>
      <c r="D52" s="22">
        <v>112328</v>
      </c>
      <c r="E52" s="22">
        <v>117955.04399999999</v>
      </c>
      <c r="F52" s="29">
        <v>150086</v>
      </c>
      <c r="G52" s="29">
        <v>144366</v>
      </c>
      <c r="H52" s="29">
        <v>193651.69016999999</v>
      </c>
      <c r="I52" s="29">
        <v>199000</v>
      </c>
      <c r="J52" s="390">
        <v>199000</v>
      </c>
      <c r="K52" s="390">
        <v>199000</v>
      </c>
      <c r="L52" s="390">
        <v>199000</v>
      </c>
      <c r="M52" s="390">
        <v>199000</v>
      </c>
      <c r="N52" s="390">
        <v>199000</v>
      </c>
      <c r="O52" s="390">
        <v>199000</v>
      </c>
      <c r="P52" s="29">
        <v>0</v>
      </c>
      <c r="Q52" s="29">
        <v>0</v>
      </c>
      <c r="R52" s="29">
        <v>199000</v>
      </c>
      <c r="S52" s="29">
        <v>199000</v>
      </c>
      <c r="T52" s="1"/>
      <c r="U52" s="8"/>
      <c r="AB52" s="9"/>
    </row>
    <row r="53" spans="1:28" x14ac:dyDescent="0.3">
      <c r="A53" s="4" t="s">
        <v>43</v>
      </c>
      <c r="B53" s="22">
        <v>-117086</v>
      </c>
      <c r="C53" s="22">
        <v>-113400</v>
      </c>
      <c r="D53" s="22">
        <v>-120877</v>
      </c>
      <c r="E53" s="22">
        <v>-136293</v>
      </c>
      <c r="F53" s="29">
        <v>-157323</v>
      </c>
      <c r="G53" s="29">
        <v>-186858</v>
      </c>
      <c r="H53" s="29">
        <v>-177796</v>
      </c>
      <c r="I53" s="29">
        <v>-173000</v>
      </c>
      <c r="J53" s="390">
        <v>-173000</v>
      </c>
      <c r="K53" s="390">
        <v>-173000</v>
      </c>
      <c r="L53" s="390">
        <v>-173000</v>
      </c>
      <c r="M53" s="390">
        <v>-173000</v>
      </c>
      <c r="N53" s="390">
        <v>-173000</v>
      </c>
      <c r="O53" s="390">
        <v>-173000</v>
      </c>
      <c r="P53" s="29">
        <f>-13457742.9/1000</f>
        <v>-13457.742900000001</v>
      </c>
      <c r="Q53" s="29">
        <f>-13457742.9/1000</f>
        <v>-13457.742900000001</v>
      </c>
      <c r="R53" s="29">
        <v>-173000</v>
      </c>
      <c r="S53" s="29">
        <v>-173000</v>
      </c>
      <c r="U53" s="8" t="s">
        <v>314</v>
      </c>
      <c r="AB53" s="9"/>
    </row>
    <row r="54" spans="1:28" x14ac:dyDescent="0.3">
      <c r="A54" s="4" t="s">
        <v>17</v>
      </c>
      <c r="B54" s="22">
        <v>-11944</v>
      </c>
      <c r="C54" s="22">
        <v>-20176</v>
      </c>
      <c r="D54" s="22">
        <v>-17744</v>
      </c>
      <c r="E54" s="22">
        <v>-16914</v>
      </c>
      <c r="F54" s="29">
        <v>-36871</v>
      </c>
      <c r="G54" s="29">
        <v>-37858.618999999999</v>
      </c>
      <c r="H54" s="22">
        <v>-27440.026690000002</v>
      </c>
      <c r="I54" s="29">
        <v>-34652</v>
      </c>
      <c r="J54" s="390">
        <v>-35214.083311597409</v>
      </c>
      <c r="K54" s="390">
        <v>-37007.528299525773</v>
      </c>
      <c r="L54" s="390">
        <v>-38950.94577944756</v>
      </c>
      <c r="M54" s="390">
        <v>-39987.560092095846</v>
      </c>
      <c r="N54" s="390">
        <v>-40590.153439530834</v>
      </c>
      <c r="O54" s="390">
        <v>-37650.024833359465</v>
      </c>
      <c r="P54" s="22">
        <f>-P42</f>
        <v>-19000</v>
      </c>
      <c r="Q54" s="22">
        <f>-Q42</f>
        <v>-19563</v>
      </c>
      <c r="R54" s="22">
        <f>-R42</f>
        <v>-27578.930509999998</v>
      </c>
      <c r="S54" s="22">
        <f>-S42</f>
        <v>-27578.930509999998</v>
      </c>
      <c r="AB54" s="9"/>
    </row>
    <row r="55" spans="1:28" x14ac:dyDescent="0.3">
      <c r="A55" s="4" t="s">
        <v>32</v>
      </c>
      <c r="B55" s="22">
        <v>-51948</v>
      </c>
      <c r="C55" s="22">
        <v>-75447</v>
      </c>
      <c r="D55" s="22">
        <v>-62143</v>
      </c>
      <c r="E55" s="22">
        <v>-41000</v>
      </c>
      <c r="F55" s="29">
        <v>-69413</v>
      </c>
      <c r="G55" s="29">
        <v>-100579</v>
      </c>
      <c r="H55" s="29">
        <v>-111009.69803999996</v>
      </c>
      <c r="I55" s="29">
        <v>-140000</v>
      </c>
      <c r="J55" s="395">
        <v>-142400</v>
      </c>
      <c r="K55" s="395">
        <v>-106000</v>
      </c>
      <c r="L55" s="395">
        <v>-124000</v>
      </c>
      <c r="M55" s="395">
        <v>-85000</v>
      </c>
      <c r="N55" s="395">
        <v>-92000</v>
      </c>
      <c r="O55" s="395">
        <v>-73000</v>
      </c>
      <c r="P55" s="22">
        <v>-10686.116</v>
      </c>
      <c r="Q55" s="22">
        <v>-8103.866</v>
      </c>
      <c r="R55" s="22">
        <f>S55</f>
        <v>-140000</v>
      </c>
      <c r="S55" s="22">
        <f>I55</f>
        <v>-140000</v>
      </c>
      <c r="AB55" s="9"/>
    </row>
    <row r="56" spans="1:28" x14ac:dyDescent="0.3">
      <c r="A56" s="4" t="s">
        <v>107</v>
      </c>
      <c r="B56" s="22">
        <v>-4025</v>
      </c>
      <c r="C56" s="22">
        <v>873</v>
      </c>
      <c r="D56" s="22">
        <v>-3188</v>
      </c>
      <c r="E56" s="22">
        <v>-4281</v>
      </c>
      <c r="F56" s="29">
        <v>-7293</v>
      </c>
      <c r="G56" s="29">
        <v>0</v>
      </c>
      <c r="H56" s="22">
        <v>9622.0856299999996</v>
      </c>
      <c r="I56" s="22">
        <v>13852</v>
      </c>
      <c r="J56" s="390">
        <v>-8321.7617158440353</v>
      </c>
      <c r="K56" s="390">
        <v>-7968.4853945847353</v>
      </c>
      <c r="L56" s="390">
        <v>-8755.8796918464141</v>
      </c>
      <c r="M56" s="390">
        <v>-10150.896921651833</v>
      </c>
      <c r="N56" s="390">
        <v>-11430.98409592266</v>
      </c>
      <c r="O56" s="390">
        <v>-12389.077793611876</v>
      </c>
      <c r="P56" s="22">
        <f>-P44</f>
        <v>0</v>
      </c>
      <c r="Q56" s="22">
        <f>-Q44</f>
        <v>0</v>
      </c>
      <c r="R56" s="22" t="e">
        <f>-R44</f>
        <v>#REF!</v>
      </c>
      <c r="S56" s="22" t="e">
        <f>-S44</f>
        <v>#REF!</v>
      </c>
      <c r="T56" s="10"/>
    </row>
    <row r="57" spans="1:28" x14ac:dyDescent="0.3">
      <c r="A57" s="4" t="s">
        <v>33</v>
      </c>
      <c r="B57" s="22">
        <v>-2624.555640000006</v>
      </c>
      <c r="C57" s="22">
        <v>-40091.959490000008</v>
      </c>
      <c r="D57" s="22">
        <v>1858</v>
      </c>
      <c r="E57" s="22">
        <v>37148.043999999994</v>
      </c>
      <c r="F57" s="29">
        <v>111677.96182999987</v>
      </c>
      <c r="G57" s="29">
        <v>18125.583793018828</v>
      </c>
      <c r="H57" s="22">
        <v>64126.466229999947</v>
      </c>
      <c r="I57" s="22">
        <v>81990.942473048461</v>
      </c>
      <c r="J57" s="390">
        <v>-5152.8324316208545</v>
      </c>
      <c r="K57" s="390">
        <v>29283.877848593846</v>
      </c>
      <c r="L57" s="390">
        <v>15659.724844851378</v>
      </c>
      <c r="M57" s="390">
        <v>62412.36158098311</v>
      </c>
      <c r="N57" s="390">
        <v>62526.288664225969</v>
      </c>
      <c r="O57" s="390">
        <v>86850.776590728288</v>
      </c>
      <c r="P57" s="22">
        <f t="shared" ref="P57" si="15">P50+P54+P55+P53+P56</f>
        <v>-37787.452900000004</v>
      </c>
      <c r="Q57" s="22">
        <f t="shared" ref="Q57:S57" si="16">Q50+Q54+Q55+Q53+Q56</f>
        <v>-30442.407949999997</v>
      </c>
      <c r="R57" s="22" t="e">
        <f t="shared" si="16"/>
        <v>#REF!</v>
      </c>
      <c r="S57" s="22" t="e">
        <f t="shared" si="16"/>
        <v>#REF!</v>
      </c>
    </row>
    <row r="58" spans="1:28" x14ac:dyDescent="0.3">
      <c r="A58" s="4" t="s">
        <v>18</v>
      </c>
      <c r="B58" s="22">
        <v>38.832549999999998</v>
      </c>
      <c r="C58" s="22">
        <v>749.78578000000005</v>
      </c>
      <c r="D58" s="22">
        <v>5040</v>
      </c>
      <c r="E58" s="22">
        <v>7600</v>
      </c>
      <c r="F58" s="29">
        <v>11514</v>
      </c>
      <c r="G58" s="29">
        <v>22455</v>
      </c>
      <c r="H58" s="29">
        <v>20000</v>
      </c>
      <c r="I58" s="22">
        <v>20000</v>
      </c>
      <c r="J58" s="390">
        <v>20000</v>
      </c>
      <c r="K58" s="390">
        <v>20000</v>
      </c>
      <c r="L58" s="390">
        <v>20000</v>
      </c>
      <c r="M58" s="390">
        <v>20000</v>
      </c>
      <c r="N58" s="390">
        <v>20000</v>
      </c>
      <c r="O58" s="390">
        <v>20000</v>
      </c>
      <c r="P58" s="22">
        <v>0</v>
      </c>
      <c r="Q58" s="22">
        <v>0</v>
      </c>
      <c r="R58" s="22">
        <v>20000</v>
      </c>
      <c r="S58" s="22">
        <v>20000</v>
      </c>
      <c r="U58" s="8"/>
      <c r="X58" s="8"/>
      <c r="Y58" s="8"/>
    </row>
    <row r="59" spans="1:28" hidden="1" x14ac:dyDescent="0.3">
      <c r="A59" s="4" t="s">
        <v>19</v>
      </c>
      <c r="B59" s="22">
        <v>4200</v>
      </c>
      <c r="C59" s="22">
        <v>4200</v>
      </c>
      <c r="D59" s="22">
        <v>4200</v>
      </c>
      <c r="E59" s="22">
        <v>13000</v>
      </c>
      <c r="F59" s="29">
        <v>9000</v>
      </c>
      <c r="G59" s="29">
        <v>0</v>
      </c>
      <c r="H59" s="22">
        <v>0</v>
      </c>
      <c r="I59" s="22">
        <v>0</v>
      </c>
      <c r="J59" s="390">
        <v>0</v>
      </c>
      <c r="K59" s="390">
        <v>0</v>
      </c>
      <c r="L59" s="390">
        <v>0</v>
      </c>
      <c r="M59" s="390">
        <v>0</v>
      </c>
      <c r="N59" s="390">
        <v>0</v>
      </c>
      <c r="O59" s="390">
        <v>0</v>
      </c>
      <c r="P59" s="22"/>
      <c r="Q59" s="22"/>
      <c r="R59" s="22"/>
      <c r="S59" s="22"/>
    </row>
    <row r="60" spans="1:28" x14ac:dyDescent="0.3">
      <c r="A60" s="4" t="s">
        <v>0</v>
      </c>
      <c r="B60" s="22">
        <v>-6863.388190000006</v>
      </c>
      <c r="C60" s="22">
        <v>-45041.745270000007</v>
      </c>
      <c r="D60" s="22">
        <v>-7382</v>
      </c>
      <c r="E60" s="22">
        <v>16548.043999999994</v>
      </c>
      <c r="F60" s="29">
        <v>94764.961829999898</v>
      </c>
      <c r="G60" s="29">
        <v>-4329.4162069811719</v>
      </c>
      <c r="H60" s="22">
        <v>44126.466229999947</v>
      </c>
      <c r="I60" s="22">
        <v>61990.942473048461</v>
      </c>
      <c r="J60" s="390">
        <v>-25152.832431620853</v>
      </c>
      <c r="K60" s="390">
        <v>9283.8778485938456</v>
      </c>
      <c r="L60" s="390">
        <v>-4340.2751551486217</v>
      </c>
      <c r="M60" s="390">
        <v>42412.36158098311</v>
      </c>
      <c r="N60" s="390">
        <v>42526.288664225969</v>
      </c>
      <c r="O60" s="390">
        <v>66850.776590728288</v>
      </c>
      <c r="P60" s="22">
        <f t="shared" ref="P60" si="17">P57-P58-P59</f>
        <v>-37787.452900000004</v>
      </c>
      <c r="Q60" s="22">
        <f t="shared" ref="Q60:S60" si="18">Q57-Q58-Q59</f>
        <v>-30442.407949999997</v>
      </c>
      <c r="R60" s="22" t="e">
        <f t="shared" si="18"/>
        <v>#REF!</v>
      </c>
      <c r="S60" s="22" t="e">
        <f t="shared" si="18"/>
        <v>#REF!</v>
      </c>
    </row>
    <row r="61" spans="1:28" x14ac:dyDescent="0.3">
      <c r="A61" s="11" t="s">
        <v>35</v>
      </c>
      <c r="B61" s="29">
        <v>136292</v>
      </c>
      <c r="C61" s="29">
        <v>168057</v>
      </c>
      <c r="D61" s="29">
        <v>208616</v>
      </c>
      <c r="E61" s="29">
        <v>199261</v>
      </c>
      <c r="F61" s="29">
        <v>163300</v>
      </c>
      <c r="G61" s="29">
        <v>126257</v>
      </c>
      <c r="H61" s="29">
        <v>133990.29504</v>
      </c>
      <c r="I61" s="29">
        <v>179077.54153000002</v>
      </c>
      <c r="J61" s="390">
        <v>166651.25505695154</v>
      </c>
      <c r="K61" s="390">
        <v>200301.74257057239</v>
      </c>
      <c r="L61" s="390">
        <v>189650.27848797862</v>
      </c>
      <c r="M61" s="390">
        <v>212569.3675723272</v>
      </c>
      <c r="N61" s="390">
        <v>196781.56070614414</v>
      </c>
      <c r="O61" s="390">
        <v>177774.94619751809</v>
      </c>
      <c r="P61" s="29">
        <f>I61</f>
        <v>179077.54153000002</v>
      </c>
      <c r="Q61" s="29">
        <f>I61</f>
        <v>179077.54153000002</v>
      </c>
      <c r="R61" s="29">
        <f>I61</f>
        <v>179077.54153000002</v>
      </c>
      <c r="S61" s="29">
        <f>R61</f>
        <v>179077.54153000002</v>
      </c>
      <c r="T61" s="77"/>
      <c r="AA61" s="15"/>
    </row>
    <row r="62" spans="1:28" x14ac:dyDescent="0.3">
      <c r="A62" s="12" t="s">
        <v>36</v>
      </c>
      <c r="B62" s="30">
        <v>168057</v>
      </c>
      <c r="C62" s="30">
        <v>208616</v>
      </c>
      <c r="D62" s="30">
        <v>199261</v>
      </c>
      <c r="E62" s="30">
        <v>163300</v>
      </c>
      <c r="F62" s="30">
        <v>126257</v>
      </c>
      <c r="G62" s="30">
        <v>133990.29504</v>
      </c>
      <c r="H62" s="30">
        <v>156897.19662999999</v>
      </c>
      <c r="I62" s="396">
        <v>166651.25505695154</v>
      </c>
      <c r="J62" s="396">
        <v>200301.74257057239</v>
      </c>
      <c r="K62" s="396">
        <v>189650.27848797862</v>
      </c>
      <c r="L62" s="396">
        <v>212569.3675723272</v>
      </c>
      <c r="M62" s="396">
        <v>196781.56070614414</v>
      </c>
      <c r="N62" s="396">
        <v>177774.94619751809</v>
      </c>
      <c r="O62" s="396">
        <v>119662.28616318986</v>
      </c>
      <c r="P62" s="30">
        <f t="shared" ref="P62" si="19">P61-P60</f>
        <v>216864.99443000002</v>
      </c>
      <c r="Q62" s="30">
        <f t="shared" ref="Q62:S62" si="20">Q61-Q60</f>
        <v>209519.94948000001</v>
      </c>
      <c r="R62" s="30" t="e">
        <f t="shared" si="20"/>
        <v>#REF!</v>
      </c>
      <c r="S62" s="30" t="e">
        <f t="shared" si="20"/>
        <v>#REF!</v>
      </c>
      <c r="T62" s="29"/>
    </row>
    <row r="63" spans="1:28" x14ac:dyDescent="0.3">
      <c r="A63" t="s">
        <v>37</v>
      </c>
      <c r="B63" s="26">
        <f>B62*1000/B15</f>
        <v>98.45916795069337</v>
      </c>
      <c r="C63" s="26">
        <f>C62*1000/C15</f>
        <v>120.42502270062707</v>
      </c>
      <c r="D63" s="26">
        <f>D62*1000/D15</f>
        <v>101.85241033137903</v>
      </c>
      <c r="E63" s="26">
        <f>E62*1000/E15</f>
        <v>94.140950852428148</v>
      </c>
      <c r="F63" s="26">
        <v>69.110669189271562</v>
      </c>
      <c r="G63" s="41">
        <f>G62/G15*1000</f>
        <v>86.46956826415763</v>
      </c>
      <c r="H63" s="387">
        <f>H62/H15*1000</f>
        <v>82.250924484931474</v>
      </c>
      <c r="I63" s="387">
        <f>I62/I15*1000</f>
        <v>87.711186872079764</v>
      </c>
      <c r="J63" s="391">
        <f>J62/J15*1000</f>
        <v>102.9197760533314</v>
      </c>
      <c r="K63" s="391">
        <f>K62/K15*1000</f>
        <v>97.820460434778468</v>
      </c>
      <c r="L63" s="391">
        <f>L62/L15*1000</f>
        <v>104.21331032926567</v>
      </c>
      <c r="M63" s="391">
        <f>M62/M15*1000</f>
        <v>90.081537705079626</v>
      </c>
      <c r="N63" s="391">
        <f>N62/N15*1000</f>
        <v>76.881144299997857</v>
      </c>
      <c r="O63" s="391">
        <f>O62/O15*1000</f>
        <v>50.70790594850083</v>
      </c>
      <c r="P63" s="22">
        <v>0</v>
      </c>
      <c r="Q63" s="22">
        <v>0</v>
      </c>
      <c r="R63" s="26" t="e">
        <f>R62/R15*1000</f>
        <v>#REF!</v>
      </c>
      <c r="S63" s="26" t="e">
        <f>S62/S15*1000</f>
        <v>#REF!</v>
      </c>
    </row>
    <row r="64" spans="1:28" x14ac:dyDescent="0.3">
      <c r="A64" t="s">
        <v>38</v>
      </c>
      <c r="B64" s="31">
        <f t="shared" ref="B64:S64" si="21">B62/B50</f>
        <v>0.92147402939938095</v>
      </c>
      <c r="C64" s="31">
        <f t="shared" si="21"/>
        <v>1.241333049980353</v>
      </c>
      <c r="D64" s="31">
        <f t="shared" si="21"/>
        <v>0.96817938875662013</v>
      </c>
      <c r="E64" s="31">
        <f t="shared" si="21"/>
        <v>0.69301791537461055</v>
      </c>
      <c r="F64" s="45">
        <v>0.32674742157810821</v>
      </c>
      <c r="G64" s="45">
        <f t="shared" si="21"/>
        <v>0.39016314062808877</v>
      </c>
      <c r="H64" s="389">
        <f>H62/H50</f>
        <v>0.42318854229413583</v>
      </c>
      <c r="I64" s="389">
        <f t="shared" si="21"/>
        <v>0.40080540010261012</v>
      </c>
      <c r="J64" s="392">
        <f t="shared" si="21"/>
        <v>0.56617117113931958</v>
      </c>
      <c r="K64" s="392">
        <f t="shared" si="21"/>
        <v>0.53685765927109919</v>
      </c>
      <c r="L64" s="392">
        <f t="shared" si="21"/>
        <v>0.58986986274348319</v>
      </c>
      <c r="M64" s="392">
        <f t="shared" ref="M64:O64" si="22">M62/M50</f>
        <v>0.53105148020564208</v>
      </c>
      <c r="N64" s="392">
        <f t="shared" si="22"/>
        <v>0.46838664663738466</v>
      </c>
      <c r="O64" s="392">
        <f t="shared" si="22"/>
        <v>0.31252402494335318</v>
      </c>
      <c r="P64" s="31">
        <f t="shared" ref="P64:Q64" si="23">P62/P50</f>
        <v>40.487034483569779</v>
      </c>
      <c r="Q64" s="31">
        <f t="shared" si="23"/>
        <v>19.613930730258346</v>
      </c>
      <c r="R64" s="31" t="e">
        <f t="shared" si="21"/>
        <v>#REF!</v>
      </c>
      <c r="S64" s="31" t="e">
        <f t="shared" si="21"/>
        <v>#REF!</v>
      </c>
    </row>
    <row r="65" spans="1:19" x14ac:dyDescent="0.3">
      <c r="A65" t="s">
        <v>39</v>
      </c>
      <c r="B65" s="31">
        <f t="shared" ref="B65:S65" si="24">B62/(B50-B52)</f>
        <v>2.5739119073777008</v>
      </c>
      <c r="C65" s="31">
        <f t="shared" si="24"/>
        <v>3.8167486074044779</v>
      </c>
      <c r="D65" s="31">
        <f t="shared" si="24"/>
        <v>2.1315440405639587</v>
      </c>
      <c r="E65" s="31">
        <f t="shared" si="24"/>
        <v>1.3876496630722037</v>
      </c>
      <c r="F65" s="45">
        <v>0.53504629966494499</v>
      </c>
      <c r="G65" s="45">
        <f t="shared" si="24"/>
        <v>0.67313133824151039</v>
      </c>
      <c r="H65" s="389">
        <f>H62/(H50-H52)</f>
        <v>0.88593224557233263</v>
      </c>
      <c r="I65" s="389">
        <f t="shared" si="24"/>
        <v>0.76871871654725477</v>
      </c>
      <c r="J65" s="392">
        <f t="shared" si="24"/>
        <v>1.2940809150265944</v>
      </c>
      <c r="K65" s="392">
        <f t="shared" si="24"/>
        <v>1.2294205356385655</v>
      </c>
      <c r="L65" s="392">
        <f t="shared" si="24"/>
        <v>1.3173075036670645</v>
      </c>
      <c r="M65" s="392">
        <f t="shared" ref="M65:O65" si="25">M62/(M50-M52)</f>
        <v>1.1470744489480873</v>
      </c>
      <c r="N65" s="392">
        <f t="shared" si="25"/>
        <v>0.98464403475297912</v>
      </c>
      <c r="O65" s="392">
        <f t="shared" si="25"/>
        <v>0.65072796106155806</v>
      </c>
      <c r="P65" s="31">
        <f t="shared" ref="P65:Q65" si="26">P62/(P50-P52)</f>
        <v>40.487034483569779</v>
      </c>
      <c r="Q65" s="31">
        <f t="shared" si="26"/>
        <v>19.613930730258346</v>
      </c>
      <c r="R65" s="31" t="e">
        <f t="shared" si="24"/>
        <v>#REF!</v>
      </c>
      <c r="S65" s="31" t="e">
        <f t="shared" si="24"/>
        <v>#REF!</v>
      </c>
    </row>
    <row r="66" spans="1:19" x14ac:dyDescent="0.3">
      <c r="A66" t="s">
        <v>112</v>
      </c>
      <c r="B66" s="28">
        <f>B50/B33</f>
        <v>0.70443147024763886</v>
      </c>
      <c r="C66" s="28">
        <f>C50/C33</f>
        <v>0.55898281637703928</v>
      </c>
      <c r="D66" s="28">
        <f>D50/D33</f>
        <v>0.57167062483507636</v>
      </c>
      <c r="E66" s="28">
        <f>E50/E33</f>
        <v>0.68663892503113333</v>
      </c>
      <c r="F66" s="43">
        <v>0.75183946650276201</v>
      </c>
      <c r="G66" s="43">
        <f>G50/G33</f>
        <v>0.64685896914577279</v>
      </c>
      <c r="H66" s="388">
        <f>H50/H33</f>
        <v>0.69723976622984862</v>
      </c>
      <c r="I66" s="388">
        <f>I50/I33</f>
        <v>0.71472531570160092</v>
      </c>
      <c r="J66" s="393">
        <f>J50/J33</f>
        <v>0.64832428400249675</v>
      </c>
      <c r="K66" s="393">
        <f>K50/K33</f>
        <v>0.64982969120998924</v>
      </c>
      <c r="L66" s="393">
        <f>L50/L33</f>
        <v>0.63031005562096964</v>
      </c>
      <c r="M66" s="393">
        <f>M50/M33</f>
        <v>0.60546323338515928</v>
      </c>
      <c r="N66" s="393">
        <f>N50/N33</f>
        <v>0.58608541417412552</v>
      </c>
      <c r="O66" s="393">
        <f>O50/O33</f>
        <v>0.57941781641727863</v>
      </c>
      <c r="P66" s="28">
        <f>P50/P33</f>
        <v>0.19815491654411166</v>
      </c>
      <c r="Q66" s="28">
        <f>Q50/Q33</f>
        <v>0.28409662447195666</v>
      </c>
      <c r="R66" s="28" t="e">
        <f>R50/R33</f>
        <v>#REF!</v>
      </c>
      <c r="S66" s="28" t="e">
        <f>S50/S33</f>
        <v>#REF!</v>
      </c>
    </row>
    <row r="67" spans="1:19" x14ac:dyDescent="0.3">
      <c r="A67" t="s">
        <v>44</v>
      </c>
      <c r="B67" s="32">
        <f t="shared" ref="B67:C67" si="27">B53+B55</f>
        <v>-169034</v>
      </c>
      <c r="C67" s="32">
        <f t="shared" si="27"/>
        <v>-188847</v>
      </c>
      <c r="D67" s="32">
        <f>D53+D55</f>
        <v>-183020</v>
      </c>
      <c r="E67" s="32">
        <f>E53+E55</f>
        <v>-177293</v>
      </c>
      <c r="F67" s="32">
        <f>F53+F55</f>
        <v>-226736</v>
      </c>
      <c r="G67" s="46">
        <f>G53+G55</f>
        <v>-287437</v>
      </c>
      <c r="H67" s="146">
        <f t="shared" ref="H67" si="28">H53+H55</f>
        <v>-288805.69803999993</v>
      </c>
      <c r="I67" s="146">
        <f>I53+I55</f>
        <v>-313000</v>
      </c>
      <c r="J67" s="394">
        <f>J53+J55</f>
        <v>-315400</v>
      </c>
      <c r="K67" s="394">
        <f t="shared" ref="J67:S67" si="29">K53+K55</f>
        <v>-279000</v>
      </c>
      <c r="L67" s="394">
        <f t="shared" si="29"/>
        <v>-297000</v>
      </c>
      <c r="M67" s="394">
        <f t="shared" ref="M67:O67" si="30">M53+M55</f>
        <v>-258000</v>
      </c>
      <c r="N67" s="394">
        <f t="shared" si="30"/>
        <v>-265000</v>
      </c>
      <c r="O67" s="394">
        <f t="shared" si="30"/>
        <v>-246000</v>
      </c>
      <c r="P67" s="32">
        <f t="shared" si="29"/>
        <v>-24143.858899999999</v>
      </c>
      <c r="Q67" s="32">
        <f t="shared" si="29"/>
        <v>-21561.608899999999</v>
      </c>
      <c r="R67" s="32">
        <f t="shared" si="29"/>
        <v>-313000</v>
      </c>
      <c r="S67" s="32">
        <f t="shared" si="29"/>
        <v>-313000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U19:V19"/>
    <mergeCell ref="W19:X19"/>
    <mergeCell ref="A21:S21"/>
    <mergeCell ref="A27:S27"/>
    <mergeCell ref="A2:S2"/>
  </mergeCells>
  <printOptions horizontalCentered="1"/>
  <pageMargins left="0" right="0" top="0.78740157480314965" bottom="0.78740157480314965" header="0" footer="0"/>
  <pageSetup paperSize="9" scale="91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71460-2CD5-4ECA-84C2-166327B9789D}">
  <dimension ref="A1:K42"/>
  <sheetViews>
    <sheetView showGridLines="0" topLeftCell="A16" workbookViewId="0">
      <selection activeCell="C33" sqref="C33"/>
    </sheetView>
  </sheetViews>
  <sheetFormatPr defaultColWidth="8.88671875" defaultRowHeight="14.4" x14ac:dyDescent="0.3"/>
  <cols>
    <col min="1" max="1" width="38.33203125" customWidth="1"/>
    <col min="2" max="2" width="17.109375" customWidth="1"/>
    <col min="3" max="3" width="9" bestFit="1" customWidth="1"/>
    <col min="4" max="4" width="16.44140625" bestFit="1" customWidth="1"/>
    <col min="5" max="5" width="19.5546875" customWidth="1"/>
    <col min="6" max="6" width="14.44140625" bestFit="1" customWidth="1"/>
    <col min="7" max="7" width="17.44140625" customWidth="1"/>
    <col min="8" max="8" width="12.109375" customWidth="1"/>
    <col min="9" max="9" width="12.33203125" customWidth="1"/>
  </cols>
  <sheetData>
    <row r="1" spans="1:11" x14ac:dyDescent="0.3">
      <c r="B1" s="48"/>
      <c r="D1" s="48"/>
      <c r="E1" s="48"/>
    </row>
    <row r="2" spans="1:11" x14ac:dyDescent="0.3">
      <c r="D2" s="48"/>
    </row>
    <row r="3" spans="1:11" x14ac:dyDescent="0.3">
      <c r="D3" s="48"/>
      <c r="E3" s="48"/>
    </row>
    <row r="4" spans="1:11" x14ac:dyDescent="0.3">
      <c r="E4" s="48"/>
    </row>
    <row r="5" spans="1:11" x14ac:dyDescent="0.3">
      <c r="D5" s="48"/>
      <c r="E5" s="48"/>
    </row>
    <row r="6" spans="1:11" x14ac:dyDescent="0.3">
      <c r="D6" s="48"/>
      <c r="E6" s="48"/>
    </row>
    <row r="7" spans="1:11" x14ac:dyDescent="0.3">
      <c r="A7" s="109" t="s">
        <v>127</v>
      </c>
      <c r="B7" s="110"/>
      <c r="C7" s="110"/>
      <c r="D7" s="110"/>
      <c r="E7" s="110"/>
      <c r="F7" s="110"/>
      <c r="G7" s="110"/>
      <c r="H7" s="110"/>
      <c r="I7" s="110"/>
      <c r="J7" s="110"/>
    </row>
    <row r="8" spans="1:11" x14ac:dyDescent="0.3">
      <c r="A8" s="111"/>
      <c r="B8" s="110"/>
      <c r="C8" s="110"/>
      <c r="D8" s="110"/>
      <c r="E8" s="110"/>
      <c r="F8" s="110"/>
      <c r="G8" s="110"/>
      <c r="H8" s="110"/>
      <c r="I8" s="110"/>
      <c r="J8" s="110"/>
    </row>
    <row r="9" spans="1:11" x14ac:dyDescent="0.3">
      <c r="A9" s="112" t="s">
        <v>318</v>
      </c>
      <c r="B9" s="110"/>
      <c r="C9" s="110"/>
      <c r="D9" s="110"/>
      <c r="E9" s="110"/>
      <c r="F9" s="110"/>
      <c r="G9" s="110"/>
      <c r="H9" s="110"/>
      <c r="I9" s="110"/>
      <c r="J9" s="110"/>
    </row>
    <row r="10" spans="1:11" x14ac:dyDescent="0.3">
      <c r="A10" s="113" t="s">
        <v>128</v>
      </c>
      <c r="B10" s="110"/>
      <c r="C10" s="110"/>
      <c r="D10" s="110"/>
      <c r="E10" s="110"/>
      <c r="F10" s="110"/>
      <c r="G10" s="110"/>
      <c r="H10" s="110"/>
      <c r="I10" s="110"/>
      <c r="J10" s="110"/>
    </row>
    <row r="11" spans="1:11" x14ac:dyDescent="0.3">
      <c r="A11" s="110"/>
      <c r="B11" s="114"/>
      <c r="C11" s="110"/>
      <c r="D11" s="110"/>
      <c r="E11" s="110"/>
      <c r="F11" s="110"/>
      <c r="G11" s="114"/>
      <c r="H11" s="110"/>
      <c r="I11" s="110"/>
      <c r="J11" s="110"/>
    </row>
    <row r="12" spans="1:11" x14ac:dyDescent="0.3">
      <c r="A12" s="115" t="s">
        <v>129</v>
      </c>
      <c r="B12" s="116"/>
      <c r="C12" s="117">
        <v>45291</v>
      </c>
      <c r="D12" s="117">
        <v>44926</v>
      </c>
      <c r="E12" s="110"/>
      <c r="F12" s="115" t="s">
        <v>130</v>
      </c>
      <c r="G12" s="116"/>
      <c r="H12" s="110"/>
      <c r="I12" s="117">
        <v>45291</v>
      </c>
      <c r="J12" s="117">
        <v>44926</v>
      </c>
    </row>
    <row r="13" spans="1:11" x14ac:dyDescent="0.3">
      <c r="A13" s="110"/>
      <c r="B13" s="110"/>
      <c r="C13" s="110"/>
      <c r="D13" s="110"/>
      <c r="E13" s="110"/>
      <c r="F13" s="110"/>
      <c r="G13" s="110"/>
      <c r="H13" s="110"/>
      <c r="I13" s="110"/>
      <c r="J13" s="110"/>
    </row>
    <row r="14" spans="1:11" x14ac:dyDescent="0.3">
      <c r="A14" s="118" t="s">
        <v>131</v>
      </c>
      <c r="B14" s="110"/>
      <c r="C14" s="110"/>
      <c r="D14" s="110"/>
      <c r="E14" s="110"/>
      <c r="F14" s="118" t="s">
        <v>131</v>
      </c>
      <c r="G14" s="110"/>
      <c r="H14" s="110"/>
      <c r="I14" s="110"/>
      <c r="J14" s="110"/>
    </row>
    <row r="15" spans="1:11" x14ac:dyDescent="0.3">
      <c r="A15" s="118" t="s">
        <v>132</v>
      </c>
      <c r="B15" s="119"/>
      <c r="C15" s="120">
        <v>143632.2671</v>
      </c>
      <c r="D15" s="120">
        <v>185927.33431999999</v>
      </c>
      <c r="E15" s="131">
        <f>C15/D15-1</f>
        <v>-0.22748170609064855</v>
      </c>
      <c r="F15" s="118" t="s">
        <v>133</v>
      </c>
      <c r="G15" s="119"/>
      <c r="H15" s="110"/>
      <c r="I15" s="120">
        <v>37115.946629999999</v>
      </c>
      <c r="J15" s="120">
        <v>21321.865389999999</v>
      </c>
      <c r="K15" s="131">
        <f>I15/J15-1</f>
        <v>0.74074575329640058</v>
      </c>
    </row>
    <row r="16" spans="1:11" x14ac:dyDescent="0.3">
      <c r="A16" s="118" t="s">
        <v>134</v>
      </c>
      <c r="B16" s="119"/>
      <c r="C16" s="120">
        <v>0</v>
      </c>
      <c r="D16" s="120">
        <v>1052.27692</v>
      </c>
      <c r="E16" s="131">
        <f t="shared" ref="E16:E22" si="0">C16/D16-1</f>
        <v>-1</v>
      </c>
      <c r="F16" s="118" t="s">
        <v>135</v>
      </c>
      <c r="G16" s="119"/>
      <c r="H16" s="110"/>
      <c r="I16" s="120">
        <v>103808.68266999999</v>
      </c>
      <c r="J16" s="120">
        <v>89708.580459999997</v>
      </c>
      <c r="K16" s="131">
        <f t="shared" ref="K16:K24" si="1">I16/J16-1</f>
        <v>0.15717673981350155</v>
      </c>
    </row>
    <row r="17" spans="1:11" x14ac:dyDescent="0.3">
      <c r="A17" s="118" t="s">
        <v>136</v>
      </c>
      <c r="B17" s="119"/>
      <c r="C17" s="120">
        <v>44341.127059999999</v>
      </c>
      <c r="D17" s="120">
        <v>37156.223899999997</v>
      </c>
      <c r="E17" s="131">
        <f t="shared" si="0"/>
        <v>0.19337011154139372</v>
      </c>
      <c r="F17" s="118" t="s">
        <v>137</v>
      </c>
      <c r="G17" s="114"/>
      <c r="H17" s="110"/>
      <c r="I17" s="120">
        <v>0</v>
      </c>
      <c r="J17" s="120">
        <v>6354.1839799999998</v>
      </c>
      <c r="K17" s="131">
        <f t="shared" si="1"/>
        <v>-1</v>
      </c>
    </row>
    <row r="18" spans="1:11" x14ac:dyDescent="0.3">
      <c r="A18" s="118" t="s">
        <v>138</v>
      </c>
      <c r="B18" s="119"/>
      <c r="C18" s="120">
        <v>122909.21885</v>
      </c>
      <c r="D18" s="120">
        <v>85637.1486</v>
      </c>
      <c r="E18" s="131">
        <f t="shared" si="0"/>
        <v>0.43523249967246103</v>
      </c>
      <c r="F18" s="118" t="s">
        <v>139</v>
      </c>
      <c r="G18" s="114"/>
      <c r="H18" s="110"/>
      <c r="I18" s="120">
        <v>16303.80492</v>
      </c>
      <c r="J18" s="120">
        <v>15852.44903</v>
      </c>
      <c r="K18" s="131">
        <f t="shared" si="1"/>
        <v>2.8472312962232627E-2</v>
      </c>
    </row>
    <row r="19" spans="1:11" x14ac:dyDescent="0.3">
      <c r="A19" s="118" t="s">
        <v>140</v>
      </c>
      <c r="B19" s="119"/>
      <c r="C19" s="120">
        <v>163540.09636</v>
      </c>
      <c r="D19" s="120">
        <v>138639.44811</v>
      </c>
      <c r="E19" s="131">
        <f t="shared" si="0"/>
        <v>0.17960723725792094</v>
      </c>
      <c r="F19" s="118" t="s">
        <v>141</v>
      </c>
      <c r="G19" s="119"/>
      <c r="H19" s="110"/>
      <c r="I19" s="120">
        <v>2209.1933800000002</v>
      </c>
      <c r="J19" s="120">
        <v>1843.3278700000001</v>
      </c>
      <c r="K19" s="131">
        <f t="shared" si="1"/>
        <v>0.19848097343637527</v>
      </c>
    </row>
    <row r="20" spans="1:11" x14ac:dyDescent="0.3">
      <c r="A20" s="118" t="s">
        <v>142</v>
      </c>
      <c r="B20" s="119"/>
      <c r="C20" s="121">
        <v>14112.26031</v>
      </c>
      <c r="D20" s="121">
        <v>11208.07041</v>
      </c>
      <c r="E20" s="131">
        <f t="shared" si="0"/>
        <v>0.25911595785558594</v>
      </c>
      <c r="F20" s="118" t="s">
        <v>143</v>
      </c>
      <c r="G20" s="119"/>
      <c r="H20" s="110"/>
      <c r="I20" s="120">
        <v>194.9298</v>
      </c>
      <c r="J20" s="120">
        <v>108.64328</v>
      </c>
      <c r="K20" s="131">
        <f t="shared" si="1"/>
        <v>0.79421865761048438</v>
      </c>
    </row>
    <row r="21" spans="1:11" x14ac:dyDescent="0.3">
      <c r="A21" s="118" t="s">
        <v>144</v>
      </c>
      <c r="B21" s="122"/>
      <c r="C21" s="120">
        <v>22135.231100000001</v>
      </c>
      <c r="D21" s="120">
        <v>16769.77173</v>
      </c>
      <c r="E21" s="131">
        <f t="shared" si="0"/>
        <v>0.31994826503222784</v>
      </c>
      <c r="F21" s="118" t="s">
        <v>145</v>
      </c>
      <c r="G21" s="119"/>
      <c r="H21" s="110"/>
      <c r="I21" s="120">
        <v>7645.2035999999998</v>
      </c>
      <c r="J21" s="120">
        <v>12927.95731</v>
      </c>
      <c r="K21" s="131">
        <f t="shared" si="1"/>
        <v>-0.40863019449435356</v>
      </c>
    </row>
    <row r="22" spans="1:11" x14ac:dyDescent="0.3">
      <c r="A22" s="123" t="s">
        <v>146</v>
      </c>
      <c r="B22" s="110"/>
      <c r="C22" s="124">
        <f>SUM(C15:C21)+17000.662</f>
        <v>527670.86277999985</v>
      </c>
      <c r="D22" s="124">
        <f>SUM(D15:D21)</f>
        <v>476390.27398999996</v>
      </c>
      <c r="E22" s="131">
        <f t="shared" si="0"/>
        <v>0.1076440716568372</v>
      </c>
      <c r="F22" s="118" t="s">
        <v>147</v>
      </c>
      <c r="G22" s="119"/>
      <c r="H22" s="110"/>
      <c r="I22" s="120">
        <v>12441.985259999999</v>
      </c>
      <c r="J22" s="120">
        <v>2111.7156399999999</v>
      </c>
      <c r="K22" s="131">
        <f t="shared" si="1"/>
        <v>4.8918847899426456</v>
      </c>
    </row>
    <row r="23" spans="1:11" x14ac:dyDescent="0.3">
      <c r="A23" s="110"/>
      <c r="B23" s="110"/>
      <c r="C23" s="110"/>
      <c r="D23" s="110"/>
      <c r="E23" s="110"/>
      <c r="F23" s="118" t="s">
        <v>148</v>
      </c>
      <c r="G23" s="110"/>
      <c r="H23" s="110"/>
      <c r="I23" s="125">
        <v>3604.0376900000001</v>
      </c>
      <c r="J23" s="125">
        <v>3466.92875</v>
      </c>
      <c r="K23" s="131">
        <f t="shared" si="1"/>
        <v>3.9547665927660125E-2</v>
      </c>
    </row>
    <row r="24" spans="1:11" x14ac:dyDescent="0.3">
      <c r="A24" s="118" t="s">
        <v>149</v>
      </c>
      <c r="B24" s="110"/>
      <c r="C24" s="110"/>
      <c r="D24" s="110"/>
      <c r="E24" s="110"/>
      <c r="F24" s="123" t="s">
        <v>150</v>
      </c>
      <c r="G24" s="110"/>
      <c r="H24" s="110"/>
      <c r="I24" s="124">
        <f>SUM(I15:I23)</f>
        <v>183323.78395000001</v>
      </c>
      <c r="J24" s="124">
        <f>SUM(J15:J23)</f>
        <v>153695.65170999998</v>
      </c>
      <c r="K24" s="131">
        <f t="shared" si="1"/>
        <v>0.19277144089869092</v>
      </c>
    </row>
    <row r="25" spans="1:11" x14ac:dyDescent="0.3">
      <c r="A25" s="118" t="s">
        <v>151</v>
      </c>
      <c r="B25" s="119"/>
      <c r="C25" s="120">
        <v>46844.874819999997</v>
      </c>
      <c r="D25" s="120">
        <v>32138.06494</v>
      </c>
      <c r="E25" s="131">
        <f t="shared" ref="E25:E30" si="2">C25/D25-1</f>
        <v>0.45761342219753431</v>
      </c>
      <c r="F25" s="110"/>
      <c r="G25" s="110"/>
      <c r="H25" s="110"/>
      <c r="I25" s="110"/>
      <c r="J25" s="110"/>
    </row>
    <row r="26" spans="1:11" x14ac:dyDescent="0.3">
      <c r="A26" s="118" t="s">
        <v>152</v>
      </c>
      <c r="B26" s="110"/>
      <c r="C26" s="120">
        <v>2273.4115200000001</v>
      </c>
      <c r="D26" s="120">
        <v>2003.73964</v>
      </c>
      <c r="E26" s="131">
        <f t="shared" si="2"/>
        <v>0.13458429159988072</v>
      </c>
      <c r="F26" s="118" t="s">
        <v>149</v>
      </c>
      <c r="G26" s="110"/>
      <c r="H26" s="110"/>
      <c r="I26" s="110"/>
      <c r="J26" s="110"/>
    </row>
    <row r="27" spans="1:11" x14ac:dyDescent="0.3">
      <c r="A27" s="118" t="s">
        <v>153</v>
      </c>
      <c r="B27" s="119"/>
      <c r="C27" s="120">
        <v>174.30708999999999</v>
      </c>
      <c r="D27" s="120">
        <v>89.4255</v>
      </c>
      <c r="E27" s="131">
        <f t="shared" si="2"/>
        <v>0.9491877596435021</v>
      </c>
      <c r="F27" s="118" t="s">
        <v>154</v>
      </c>
      <c r="G27" s="119"/>
      <c r="H27" s="110"/>
      <c r="I27" s="120">
        <v>243565.61588</v>
      </c>
      <c r="J27" s="120">
        <v>263399.39075999998</v>
      </c>
      <c r="K27" s="131">
        <f t="shared" ref="K27:K32" si="3">I27/J27-1</f>
        <v>-7.5299243566101515E-2</v>
      </c>
    </row>
    <row r="28" spans="1:11" x14ac:dyDescent="0.3">
      <c r="A28" s="118" t="s">
        <v>144</v>
      </c>
      <c r="B28" s="122"/>
      <c r="C28" s="120">
        <v>1247.3972799999999</v>
      </c>
      <c r="D28" s="120">
        <v>2334.6809899999998</v>
      </c>
      <c r="E28" s="131">
        <f t="shared" si="2"/>
        <v>-0.46570975420500593</v>
      </c>
      <c r="F28" s="118" t="s">
        <v>143</v>
      </c>
      <c r="G28" s="119"/>
      <c r="H28" s="110"/>
      <c r="I28" s="120">
        <v>154.29903999999999</v>
      </c>
      <c r="J28" s="120">
        <v>262.73773999999997</v>
      </c>
      <c r="K28" s="131">
        <f t="shared" si="3"/>
        <v>-0.4127260134002827</v>
      </c>
    </row>
    <row r="29" spans="1:11" x14ac:dyDescent="0.3">
      <c r="A29" s="118" t="s">
        <v>155</v>
      </c>
      <c r="B29" s="119"/>
      <c r="C29" s="120">
        <v>546233.07337</v>
      </c>
      <c r="D29" s="120">
        <v>494636.20707</v>
      </c>
      <c r="E29" s="131">
        <f t="shared" si="2"/>
        <v>0.10431275665329154</v>
      </c>
      <c r="F29" s="118" t="s">
        <v>148</v>
      </c>
      <c r="G29" s="110"/>
      <c r="H29" s="110"/>
      <c r="I29" s="120">
        <v>4303.6434099999997</v>
      </c>
      <c r="J29" s="120">
        <v>4417.0455599999996</v>
      </c>
      <c r="K29" s="131">
        <f t="shared" si="3"/>
        <v>-2.56737560116993E-2</v>
      </c>
    </row>
    <row r="30" spans="1:11" x14ac:dyDescent="0.3">
      <c r="A30" s="123" t="s">
        <v>156</v>
      </c>
      <c r="B30" s="126"/>
      <c r="C30" s="127">
        <f>SUM(C25:C29)</f>
        <v>596773.06408000004</v>
      </c>
      <c r="D30" s="127">
        <f>SUM(D25:D29)</f>
        <v>531202.11814000004</v>
      </c>
      <c r="E30" s="131">
        <f t="shared" si="2"/>
        <v>0.12343878855302037</v>
      </c>
      <c r="F30" s="118" t="s">
        <v>157</v>
      </c>
      <c r="G30" s="119"/>
      <c r="H30" s="110"/>
      <c r="I30" s="120">
        <v>48871.314700000003</v>
      </c>
      <c r="J30" s="120">
        <v>40021.00563</v>
      </c>
      <c r="K30" s="131">
        <f t="shared" si="3"/>
        <v>0.22114159628627017</v>
      </c>
    </row>
    <row r="31" spans="1:11" x14ac:dyDescent="0.3">
      <c r="A31" s="110"/>
      <c r="B31" s="110"/>
      <c r="C31" s="110"/>
      <c r="D31" s="110"/>
      <c r="E31" s="110"/>
      <c r="F31" s="118" t="s">
        <v>158</v>
      </c>
      <c r="G31" s="119"/>
      <c r="H31" s="110"/>
      <c r="I31" s="120">
        <v>25394.135109999999</v>
      </c>
      <c r="J31" s="120">
        <v>26095.927250000001</v>
      </c>
      <c r="K31" s="131">
        <f t="shared" si="3"/>
        <v>-2.6892784198729758E-2</v>
      </c>
    </row>
    <row r="32" spans="1:11" x14ac:dyDescent="0.3">
      <c r="A32" s="110"/>
      <c r="B32" s="110"/>
      <c r="C32" s="110"/>
      <c r="D32" s="110"/>
      <c r="E32" s="110"/>
      <c r="F32" s="123" t="s">
        <v>159</v>
      </c>
      <c r="G32" s="110"/>
      <c r="H32" s="110"/>
      <c r="I32" s="124">
        <f>SUM(I27:I31)</f>
        <v>322289.00813999999</v>
      </c>
      <c r="J32" s="124">
        <f>SUM(J27:J31)</f>
        <v>334196.10694000003</v>
      </c>
      <c r="K32" s="131">
        <f t="shared" si="3"/>
        <v>-3.562907691841477E-2</v>
      </c>
    </row>
    <row r="33" spans="1:11" x14ac:dyDescent="0.3">
      <c r="A33" s="110"/>
      <c r="B33" s="110"/>
      <c r="C33" s="110"/>
      <c r="D33" s="110"/>
      <c r="E33" s="110"/>
      <c r="F33" s="110"/>
      <c r="G33" s="110"/>
      <c r="H33" s="110"/>
      <c r="I33" s="126"/>
      <c r="J33" s="110"/>
    </row>
    <row r="34" spans="1:11" x14ac:dyDescent="0.3">
      <c r="A34" s="110"/>
      <c r="B34" s="110"/>
      <c r="C34" s="110"/>
      <c r="D34" s="110"/>
      <c r="E34" s="110"/>
      <c r="F34" s="118" t="s">
        <v>160</v>
      </c>
      <c r="G34" s="119"/>
      <c r="H34" s="110"/>
      <c r="I34" s="110"/>
      <c r="J34" s="110"/>
    </row>
    <row r="35" spans="1:11" x14ac:dyDescent="0.3">
      <c r="A35" s="110"/>
      <c r="B35" s="110"/>
      <c r="C35" s="110"/>
      <c r="D35" s="110"/>
      <c r="E35" s="110"/>
      <c r="F35" s="118" t="s">
        <v>161</v>
      </c>
      <c r="G35" s="110"/>
      <c r="H35" s="110"/>
      <c r="I35" s="120">
        <v>253354.171</v>
      </c>
      <c r="J35" s="120">
        <v>253354.171</v>
      </c>
      <c r="K35" s="131">
        <f t="shared" ref="K35:K39" si="4">I35/J35-1</f>
        <v>0</v>
      </c>
    </row>
    <row r="36" spans="1:11" x14ac:dyDescent="0.3">
      <c r="A36" s="110"/>
      <c r="B36" s="110"/>
      <c r="C36" s="110"/>
      <c r="D36" s="110"/>
      <c r="E36" s="110"/>
      <c r="F36" s="118" t="s">
        <v>162</v>
      </c>
      <c r="G36" s="110"/>
      <c r="H36" s="110"/>
      <c r="I36" s="120">
        <v>3439.0727400000001</v>
      </c>
      <c r="J36" s="120">
        <v>3439.0727400000001</v>
      </c>
      <c r="K36" s="131">
        <f t="shared" si="4"/>
        <v>0</v>
      </c>
    </row>
    <row r="37" spans="1:11" x14ac:dyDescent="0.3">
      <c r="A37" s="110"/>
      <c r="B37" s="110"/>
      <c r="C37" s="110"/>
      <c r="D37" s="110"/>
      <c r="E37" s="110"/>
      <c r="F37" s="118" t="s">
        <v>163</v>
      </c>
      <c r="G37" s="110"/>
      <c r="H37" s="110"/>
      <c r="I37" s="120">
        <v>74747.267689999993</v>
      </c>
      <c r="J37" s="120">
        <v>78988.066829999996</v>
      </c>
      <c r="K37" s="131">
        <f t="shared" si="4"/>
        <v>-5.3689111661982425E-2</v>
      </c>
    </row>
    <row r="38" spans="1:11" x14ac:dyDescent="0.3">
      <c r="A38" s="110"/>
      <c r="B38" s="110"/>
      <c r="C38" s="110"/>
      <c r="D38" s="110"/>
      <c r="E38" s="110"/>
      <c r="F38" s="118" t="s">
        <v>164</v>
      </c>
      <c r="G38" s="110"/>
      <c r="H38" s="110"/>
      <c r="I38" s="120">
        <v>287290.42291000002</v>
      </c>
      <c r="J38" s="120">
        <v>183919.32298999999</v>
      </c>
      <c r="K38" s="131">
        <f t="shared" si="4"/>
        <v>0.56204589185890219</v>
      </c>
    </row>
    <row r="39" spans="1:11" x14ac:dyDescent="0.3">
      <c r="A39" s="110"/>
      <c r="B39" s="110"/>
      <c r="C39" s="128"/>
      <c r="D39" s="128"/>
      <c r="E39" s="110"/>
      <c r="F39" s="123" t="s">
        <v>165</v>
      </c>
      <c r="G39" s="110"/>
      <c r="H39" s="110"/>
      <c r="I39" s="127">
        <f>SUM(I35:I38)</f>
        <v>618830.93434000004</v>
      </c>
      <c r="J39" s="127">
        <f>SUM(J35:J38)</f>
        <v>519700.63355999999</v>
      </c>
      <c r="K39" s="131">
        <f t="shared" si="4"/>
        <v>0.19074500660302807</v>
      </c>
    </row>
    <row r="40" spans="1:11" x14ac:dyDescent="0.3">
      <c r="A40" s="118"/>
      <c r="B40" s="118"/>
      <c r="C40" s="129"/>
      <c r="D40" s="129"/>
      <c r="E40" s="118"/>
      <c r="F40" s="118"/>
      <c r="G40" s="118"/>
      <c r="H40" s="114"/>
      <c r="I40" s="129"/>
      <c r="J40" s="129"/>
    </row>
    <row r="41" spans="1:11" x14ac:dyDescent="0.3">
      <c r="A41" s="118"/>
      <c r="B41" s="118"/>
      <c r="C41" s="129"/>
      <c r="D41" s="129"/>
      <c r="E41" s="118"/>
      <c r="F41" s="118"/>
      <c r="G41" s="118"/>
      <c r="H41" s="114"/>
      <c r="I41" s="129"/>
      <c r="J41" s="129"/>
    </row>
    <row r="42" spans="1:11" x14ac:dyDescent="0.3">
      <c r="A42" s="123" t="s">
        <v>166</v>
      </c>
      <c r="B42" s="110"/>
      <c r="C42" s="130">
        <f>C30+C22</f>
        <v>1124443.92686</v>
      </c>
      <c r="D42" s="130">
        <f>D30+D22</f>
        <v>1007592.3921300001</v>
      </c>
      <c r="E42" s="131">
        <f t="shared" ref="E42" si="5">C42/D42-1</f>
        <v>0.11597103714030799</v>
      </c>
      <c r="F42" s="123" t="s">
        <v>167</v>
      </c>
      <c r="G42" s="110"/>
      <c r="H42" s="110"/>
      <c r="I42" s="130">
        <f>I39+I32+I24</f>
        <v>1124443.72643</v>
      </c>
      <c r="J42" s="130">
        <f>J39+J32+J24</f>
        <v>1007592.3922100001</v>
      </c>
      <c r="K42" s="131">
        <f t="shared" ref="K42" si="6">I42/J42-1</f>
        <v>0.1159708381319795</v>
      </c>
    </row>
  </sheetData>
  <sheetProtection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625C-921F-4F9D-B250-C04DA0C8B828}">
  <dimension ref="A1:F53"/>
  <sheetViews>
    <sheetView showGridLines="0" topLeftCell="A23" workbookViewId="0">
      <selection activeCell="C47" sqref="C47"/>
    </sheetView>
  </sheetViews>
  <sheetFormatPr defaultColWidth="8.88671875" defaultRowHeight="14.4" x14ac:dyDescent="0.3"/>
  <cols>
    <col min="1" max="1" width="63.109375" customWidth="1"/>
    <col min="2" max="2" width="16.44140625" style="49" bestFit="1" customWidth="1"/>
    <col min="3" max="3" width="10.88671875" bestFit="1" customWidth="1"/>
    <col min="4" max="4" width="8.33203125" style="15" bestFit="1" customWidth="1"/>
    <col min="5" max="5" width="13.5546875" bestFit="1" customWidth="1"/>
    <col min="6" max="6" width="11.5546875" bestFit="1" customWidth="1"/>
  </cols>
  <sheetData>
    <row r="1" spans="1:6" x14ac:dyDescent="0.3">
      <c r="A1" s="109" t="s">
        <v>127</v>
      </c>
      <c r="B1" s="132"/>
      <c r="C1" s="47"/>
      <c r="D1" s="47"/>
    </row>
    <row r="2" spans="1:6" x14ac:dyDescent="0.3">
      <c r="A2" s="111"/>
      <c r="B2" s="133"/>
      <c r="C2" s="47"/>
      <c r="D2" s="47"/>
    </row>
    <row r="3" spans="1:6" x14ac:dyDescent="0.3">
      <c r="A3" s="134" t="s">
        <v>168</v>
      </c>
      <c r="B3" s="135"/>
      <c r="C3" s="51"/>
      <c r="D3" s="51"/>
    </row>
    <row r="4" spans="1:6" x14ac:dyDescent="0.3">
      <c r="A4" s="137" t="s">
        <v>363</v>
      </c>
      <c r="B4" s="138"/>
      <c r="C4" s="51"/>
      <c r="D4" s="136"/>
    </row>
    <row r="5" spans="1:6" x14ac:dyDescent="0.3">
      <c r="A5" s="139" t="s">
        <v>169</v>
      </c>
      <c r="B5" s="140"/>
      <c r="C5" s="139"/>
      <c r="D5" s="139"/>
    </row>
    <row r="6" spans="1:6" ht="16.2" thickBot="1" x14ac:dyDescent="0.35">
      <c r="A6" s="141"/>
      <c r="B6" s="141"/>
      <c r="C6" s="142">
        <v>2023</v>
      </c>
      <c r="D6" s="142">
        <v>2022</v>
      </c>
      <c r="E6" s="50"/>
      <c r="F6" s="50"/>
    </row>
    <row r="7" spans="1:6" ht="9.75" customHeight="1" x14ac:dyDescent="0.3">
      <c r="A7" s="141"/>
      <c r="B7" s="141"/>
      <c r="C7" s="144"/>
      <c r="D7" s="143"/>
      <c r="E7" s="50"/>
      <c r="F7" s="50"/>
    </row>
    <row r="8" spans="1:6" x14ac:dyDescent="0.3">
      <c r="A8" s="145" t="s">
        <v>170</v>
      </c>
      <c r="B8" s="143"/>
      <c r="C8" s="144"/>
      <c r="D8" s="143"/>
    </row>
    <row r="9" spans="1:6" x14ac:dyDescent="0.3">
      <c r="A9" s="141"/>
      <c r="B9" s="143"/>
      <c r="C9" s="144"/>
      <c r="D9" s="143"/>
      <c r="E9" s="9"/>
      <c r="F9" s="9"/>
    </row>
    <row r="10" spans="1:6" x14ac:dyDescent="0.3">
      <c r="A10" s="141" t="s">
        <v>171</v>
      </c>
      <c r="B10" s="141"/>
      <c r="C10" s="146">
        <f>559947.88874-26246.74438</f>
        <v>533701.14435999992</v>
      </c>
      <c r="D10" s="146">
        <v>543753</v>
      </c>
      <c r="E10" s="2">
        <f>C10/D10-1</f>
        <v>-1.8486069299847641E-2</v>
      </c>
      <c r="F10" s="9"/>
    </row>
    <row r="11" spans="1:6" x14ac:dyDescent="0.3">
      <c r="A11" s="141"/>
      <c r="B11" s="141"/>
      <c r="C11" s="144"/>
      <c r="D11" s="143"/>
      <c r="E11" s="9"/>
      <c r="F11" s="9"/>
    </row>
    <row r="12" spans="1:6" x14ac:dyDescent="0.3">
      <c r="A12" s="141" t="s">
        <v>172</v>
      </c>
      <c r="B12" s="141"/>
      <c r="C12" s="146">
        <v>40756.336969999997</v>
      </c>
      <c r="D12" s="146">
        <v>-60837</v>
      </c>
      <c r="E12" s="2">
        <f>C12/D12-1</f>
        <v>-1.6699268039186679</v>
      </c>
      <c r="F12" s="9"/>
    </row>
    <row r="13" spans="1:6" x14ac:dyDescent="0.3">
      <c r="A13" s="141"/>
      <c r="B13" s="141"/>
      <c r="C13" s="144"/>
      <c r="D13" s="143"/>
      <c r="E13" s="9"/>
      <c r="F13" s="9"/>
    </row>
    <row r="14" spans="1:6" x14ac:dyDescent="0.3">
      <c r="A14" s="141" t="s">
        <v>173</v>
      </c>
      <c r="B14" s="141"/>
      <c r="C14" s="146">
        <v>-358809.96175999998</v>
      </c>
      <c r="D14" s="146">
        <v>-346126</v>
      </c>
      <c r="E14" s="2">
        <f>C14/D14-1</f>
        <v>3.6645504122776007E-2</v>
      </c>
      <c r="F14" s="9"/>
    </row>
    <row r="15" spans="1:6" x14ac:dyDescent="0.3">
      <c r="A15" s="141"/>
      <c r="B15" s="143"/>
      <c r="C15" s="144"/>
      <c r="D15" s="143"/>
      <c r="E15" s="9"/>
      <c r="F15" s="9"/>
    </row>
    <row r="16" spans="1:6" x14ac:dyDescent="0.3">
      <c r="A16" s="147"/>
      <c r="B16" s="141"/>
      <c r="C16" s="144"/>
      <c r="D16" s="143"/>
      <c r="E16" s="9"/>
      <c r="F16" s="9"/>
    </row>
    <row r="17" spans="1:6" ht="15" thickBot="1" x14ac:dyDescent="0.35">
      <c r="A17" s="145" t="s">
        <v>174</v>
      </c>
      <c r="B17" s="145"/>
      <c r="C17" s="148">
        <f>SUM(C10:C15)</f>
        <v>215647.51956999989</v>
      </c>
      <c r="D17" s="149">
        <f>SUM(D10:D15)</f>
        <v>136790</v>
      </c>
      <c r="E17" s="2">
        <f>C17/D17-1</f>
        <v>0.57648599729512306</v>
      </c>
      <c r="F17" s="9"/>
    </row>
    <row r="18" spans="1:6" x14ac:dyDescent="0.3">
      <c r="A18" s="141"/>
      <c r="B18" s="141"/>
      <c r="C18" s="150"/>
      <c r="D18" s="151"/>
      <c r="E18" s="9"/>
      <c r="F18" s="9"/>
    </row>
    <row r="19" spans="1:6" x14ac:dyDescent="0.3">
      <c r="A19" s="141" t="s">
        <v>175</v>
      </c>
      <c r="B19" s="141"/>
      <c r="C19" s="150"/>
      <c r="D19" s="151"/>
      <c r="E19" s="9"/>
      <c r="F19" s="9"/>
    </row>
    <row r="20" spans="1:6" x14ac:dyDescent="0.3">
      <c r="A20" s="141" t="s">
        <v>176</v>
      </c>
      <c r="B20" s="141"/>
      <c r="C20" s="146">
        <v>-59920.314830000003</v>
      </c>
      <c r="D20" s="146">
        <v>-61297</v>
      </c>
      <c r="E20" s="2">
        <f>C20/D20-1</f>
        <v>-2.2459258528149784E-2</v>
      </c>
      <c r="F20" s="9"/>
    </row>
    <row r="21" spans="1:6" x14ac:dyDescent="0.3">
      <c r="A21" s="141" t="s">
        <v>177</v>
      </c>
      <c r="B21" s="141"/>
      <c r="C21" s="146">
        <v>-12693.826429999999</v>
      </c>
      <c r="D21" s="146">
        <v>-8560</v>
      </c>
      <c r="E21" s="2">
        <f>C21/D21-1</f>
        <v>0.48292364836448587</v>
      </c>
      <c r="F21" s="9"/>
    </row>
    <row r="22" spans="1:6" x14ac:dyDescent="0.3">
      <c r="A22" s="141" t="s">
        <v>178</v>
      </c>
      <c r="B22" s="141"/>
      <c r="C22" s="146">
        <v>21832.474119999999</v>
      </c>
      <c r="D22" s="146">
        <v>20462</v>
      </c>
      <c r="E22" s="2">
        <f>C22/D22-1</f>
        <v>6.6976547747043202E-2</v>
      </c>
      <c r="F22" s="9"/>
    </row>
    <row r="23" spans="1:6" x14ac:dyDescent="0.3">
      <c r="A23" s="145" t="s">
        <v>114</v>
      </c>
      <c r="B23" s="145"/>
      <c r="C23" s="152">
        <f>SUM(C20:C22)</f>
        <v>-50781.667140000005</v>
      </c>
      <c r="D23" s="153">
        <f>SUM(D20:D22)</f>
        <v>-49395</v>
      </c>
      <c r="E23" s="2">
        <f>C23/D23-1</f>
        <v>2.8073026419678238E-2</v>
      </c>
      <c r="F23" s="9"/>
    </row>
    <row r="24" spans="1:6" x14ac:dyDescent="0.3">
      <c r="A24" s="141"/>
      <c r="B24" s="141"/>
      <c r="C24" s="144"/>
      <c r="D24" s="143"/>
      <c r="E24" s="9"/>
      <c r="F24" s="9"/>
    </row>
    <row r="25" spans="1:6" x14ac:dyDescent="0.3">
      <c r="A25" s="141"/>
      <c r="B25" s="143"/>
      <c r="C25" s="144"/>
      <c r="D25" s="143"/>
      <c r="E25" s="9"/>
      <c r="F25" s="9"/>
    </row>
    <row r="26" spans="1:6" x14ac:dyDescent="0.3">
      <c r="A26" s="145" t="s">
        <v>179</v>
      </c>
      <c r="B26" s="145"/>
      <c r="C26" s="154">
        <f>C17+C23</f>
        <v>164865.85242999988</v>
      </c>
      <c r="D26" s="155">
        <f>D17+D23+1</f>
        <v>87396</v>
      </c>
      <c r="E26" s="2">
        <f>C26/D26-1</f>
        <v>0.88642331948830466</v>
      </c>
      <c r="F26" s="9"/>
    </row>
    <row r="27" spans="1:6" x14ac:dyDescent="0.3">
      <c r="A27" s="141"/>
      <c r="B27" s="143"/>
      <c r="C27" s="144"/>
      <c r="D27" s="143"/>
      <c r="E27" s="9"/>
      <c r="F27" s="9"/>
    </row>
    <row r="28" spans="1:6" x14ac:dyDescent="0.3">
      <c r="A28" s="141"/>
      <c r="B28" s="141"/>
      <c r="C28" s="144"/>
      <c r="D28" s="143"/>
      <c r="E28" s="9"/>
      <c r="F28" s="9"/>
    </row>
    <row r="29" spans="1:6" x14ac:dyDescent="0.3">
      <c r="A29" s="145" t="s">
        <v>180</v>
      </c>
      <c r="B29" s="141"/>
      <c r="C29" s="144"/>
      <c r="D29" s="143"/>
      <c r="E29" s="9"/>
      <c r="F29" s="9"/>
    </row>
    <row r="30" spans="1:6" x14ac:dyDescent="0.3">
      <c r="A30" s="141" t="s">
        <v>181</v>
      </c>
      <c r="B30" s="141"/>
      <c r="C30" s="146">
        <v>35347.178970000001</v>
      </c>
      <c r="D30" s="146">
        <f>31254+19784</f>
        <v>51038</v>
      </c>
      <c r="E30" s="2">
        <f>C30/D30-1</f>
        <v>-0.30743408891414237</v>
      </c>
      <c r="F30" s="9"/>
    </row>
    <row r="31" spans="1:6" x14ac:dyDescent="0.3">
      <c r="A31" s="141" t="s">
        <v>182</v>
      </c>
      <c r="B31" s="141"/>
      <c r="C31" s="146">
        <v>-64748.590920000002</v>
      </c>
      <c r="D31" s="146">
        <v>-81949</v>
      </c>
      <c r="E31" s="2">
        <f>C31/D31-1</f>
        <v>-0.20989162869589617</v>
      </c>
      <c r="F31" s="9"/>
    </row>
    <row r="32" spans="1:6" ht="15" thickBot="1" x14ac:dyDescent="0.35">
      <c r="A32" s="141" t="s">
        <v>183</v>
      </c>
      <c r="B32" s="141"/>
      <c r="C32" s="156"/>
      <c r="D32" s="156"/>
      <c r="E32" s="2"/>
      <c r="F32" s="9"/>
    </row>
    <row r="33" spans="1:6" ht="15" thickBot="1" x14ac:dyDescent="0.35">
      <c r="A33" s="141" t="s">
        <v>114</v>
      </c>
      <c r="B33" s="141"/>
      <c r="C33" s="146">
        <f>SUM(C30:C32)</f>
        <v>-29401.411950000002</v>
      </c>
      <c r="D33" s="157">
        <f>SUM(D30:D32)</f>
        <v>-30911</v>
      </c>
      <c r="E33" s="2">
        <f>C33/D33-1</f>
        <v>-4.8836597004302651E-2</v>
      </c>
      <c r="F33" s="9"/>
    </row>
    <row r="34" spans="1:6" x14ac:dyDescent="0.3">
      <c r="A34" s="141"/>
      <c r="B34" s="143"/>
      <c r="C34" s="158"/>
      <c r="D34" s="159"/>
      <c r="E34" s="9"/>
      <c r="F34" s="9"/>
    </row>
    <row r="35" spans="1:6" x14ac:dyDescent="0.3">
      <c r="A35" s="141"/>
      <c r="B35" s="141"/>
      <c r="C35" s="144"/>
      <c r="D35" s="143"/>
      <c r="E35" s="9"/>
      <c r="F35" s="9"/>
    </row>
    <row r="36" spans="1:6" x14ac:dyDescent="0.3">
      <c r="A36" s="145" t="s">
        <v>184</v>
      </c>
      <c r="B36" s="141"/>
      <c r="C36" s="144"/>
      <c r="D36" s="143"/>
      <c r="E36" s="9"/>
      <c r="F36" s="9"/>
    </row>
    <row r="37" spans="1:6" x14ac:dyDescent="0.3">
      <c r="A37" s="160" t="s">
        <v>185</v>
      </c>
      <c r="B37" s="141"/>
      <c r="C37" s="146">
        <f>C26+C33</f>
        <v>135464.44047999987</v>
      </c>
      <c r="D37" s="157">
        <f>D26+D33</f>
        <v>56485</v>
      </c>
      <c r="E37" s="2">
        <f>C37/D37-1</f>
        <v>1.3982374166592879</v>
      </c>
      <c r="F37" s="9"/>
    </row>
    <row r="38" spans="1:6" x14ac:dyDescent="0.3">
      <c r="A38" s="160"/>
      <c r="B38" s="143"/>
      <c r="C38" s="144"/>
      <c r="D38" s="143"/>
      <c r="E38" s="9"/>
      <c r="F38" s="9"/>
    </row>
    <row r="39" spans="1:6" x14ac:dyDescent="0.3">
      <c r="A39" s="141"/>
      <c r="B39" s="141"/>
      <c r="C39" s="144"/>
      <c r="D39" s="143"/>
      <c r="E39" s="9"/>
      <c r="F39" s="9"/>
    </row>
    <row r="40" spans="1:6" x14ac:dyDescent="0.3">
      <c r="A40" s="141" t="s">
        <v>186</v>
      </c>
      <c r="B40" s="141"/>
      <c r="C40" s="146">
        <v>2886.7831700000002</v>
      </c>
      <c r="D40" s="146">
        <v>-10508</v>
      </c>
      <c r="E40" s="2">
        <f>C40/D40-1</f>
        <v>-1.2747224181575942</v>
      </c>
      <c r="F40" s="9"/>
    </row>
    <row r="41" spans="1:6" x14ac:dyDescent="0.3">
      <c r="A41" s="141" t="s">
        <v>187</v>
      </c>
      <c r="B41" s="141"/>
      <c r="C41" s="146">
        <v>9098.6195000000007</v>
      </c>
      <c r="D41" s="146">
        <v>14885</v>
      </c>
      <c r="E41" s="2">
        <f>C41/D41-1</f>
        <v>-0.38873903258313736</v>
      </c>
      <c r="F41" s="9"/>
    </row>
    <row r="42" spans="1:6" x14ac:dyDescent="0.3">
      <c r="A42" s="141" t="s">
        <v>188</v>
      </c>
      <c r="B42" s="141"/>
      <c r="C42" s="146">
        <v>0</v>
      </c>
      <c r="D42" s="146">
        <v>6464</v>
      </c>
      <c r="E42" s="2">
        <f>C42/D42-1</f>
        <v>-1</v>
      </c>
      <c r="F42" s="9"/>
    </row>
    <row r="43" spans="1:6" x14ac:dyDescent="0.3">
      <c r="A43" s="141" t="s">
        <v>114</v>
      </c>
      <c r="B43" s="141"/>
      <c r="C43" s="146">
        <v>9622.0856299999996</v>
      </c>
      <c r="D43" s="157">
        <f>SUM(D40:D42)</f>
        <v>10841</v>
      </c>
      <c r="E43" s="2">
        <f>C43/D43-1</f>
        <v>-0.11243560280416942</v>
      </c>
      <c r="F43" s="9"/>
    </row>
    <row r="44" spans="1:6" x14ac:dyDescent="0.3">
      <c r="A44" s="141"/>
      <c r="B44" s="143"/>
      <c r="C44" s="144"/>
      <c r="D44" s="143"/>
      <c r="E44" s="9"/>
      <c r="F44" s="9"/>
    </row>
    <row r="45" spans="1:6" x14ac:dyDescent="0.3">
      <c r="A45" s="141"/>
      <c r="B45" s="141"/>
      <c r="C45" s="144"/>
      <c r="D45" s="143"/>
      <c r="E45" s="9"/>
      <c r="F45" s="9"/>
    </row>
    <row r="46" spans="1:6" ht="15" thickBot="1" x14ac:dyDescent="0.35">
      <c r="A46" s="161" t="s">
        <v>189</v>
      </c>
      <c r="B46" s="141"/>
      <c r="C46" s="162">
        <f>C37-C43</f>
        <v>125842.35484999987</v>
      </c>
      <c r="D46" s="163">
        <f>D37+D43</f>
        <v>67326</v>
      </c>
      <c r="E46" s="2">
        <f>C46/D46-1</f>
        <v>0.86914943483943596</v>
      </c>
      <c r="F46" s="9"/>
    </row>
    <row r="47" spans="1:6" x14ac:dyDescent="0.3">
      <c r="A47" s="161"/>
      <c r="B47" s="143"/>
      <c r="C47" s="150"/>
      <c r="D47" s="151"/>
      <c r="F47" s="9"/>
    </row>
    <row r="48" spans="1:6" x14ac:dyDescent="0.3">
      <c r="A48" s="141"/>
      <c r="B48" s="141"/>
      <c r="C48" s="144"/>
      <c r="D48" s="143"/>
      <c r="F48" s="9"/>
    </row>
    <row r="49" spans="1:6" ht="15" thickBot="1" x14ac:dyDescent="0.35">
      <c r="A49" s="145" t="s">
        <v>190</v>
      </c>
      <c r="B49" s="141"/>
      <c r="C49" s="164">
        <f>C46/53354</f>
        <v>2.3586301842411044</v>
      </c>
      <c r="D49" s="165">
        <v>3.35</v>
      </c>
      <c r="E49" s="2">
        <f>C49/D49-1</f>
        <v>-0.29593128828623749</v>
      </c>
      <c r="F49" s="9"/>
    </row>
    <row r="50" spans="1:6" x14ac:dyDescent="0.3">
      <c r="F50" s="9"/>
    </row>
    <row r="52" spans="1:6" x14ac:dyDescent="0.3">
      <c r="C52" s="172"/>
      <c r="D52" s="172"/>
    </row>
    <row r="53" spans="1:6" x14ac:dyDescent="0.3">
      <c r="C53" s="172"/>
      <c r="D53" s="172"/>
    </row>
  </sheetData>
  <sheetProtection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6A29-8DDA-47CD-B6A7-C4E1E0B30AD7}">
  <dimension ref="A1:J34"/>
  <sheetViews>
    <sheetView topLeftCell="A11" workbookViewId="0">
      <selection activeCell="I1" sqref="I1"/>
    </sheetView>
  </sheetViews>
  <sheetFormatPr defaultColWidth="11.44140625" defaultRowHeight="14.4" x14ac:dyDescent="0.3"/>
  <cols>
    <col min="1" max="1" width="22.33203125" bestFit="1" customWidth="1"/>
    <col min="2" max="5" width="14.44140625" bestFit="1" customWidth="1"/>
    <col min="6" max="6" width="13.88671875" bestFit="1" customWidth="1"/>
    <col min="7" max="8" width="13.33203125" bestFit="1" customWidth="1"/>
    <col min="9" max="9" width="15.44140625" bestFit="1" customWidth="1"/>
    <col min="10" max="10" width="11.44140625" style="20"/>
  </cols>
  <sheetData>
    <row r="1" spans="1:9" ht="15" thickBot="1" x14ac:dyDescent="0.35">
      <c r="A1" s="80"/>
      <c r="B1" s="81">
        <v>2024</v>
      </c>
      <c r="C1" s="81">
        <v>2025</v>
      </c>
      <c r="D1" s="81">
        <v>2026</v>
      </c>
      <c r="E1" s="81">
        <v>2027</v>
      </c>
      <c r="F1" s="81">
        <v>2028</v>
      </c>
      <c r="G1" s="81">
        <v>2029</v>
      </c>
      <c r="H1" s="81">
        <v>2030</v>
      </c>
      <c r="I1" s="82" t="s">
        <v>52</v>
      </c>
    </row>
    <row r="2" spans="1:9" ht="18.600000000000001" thickBot="1" x14ac:dyDescent="0.35">
      <c r="A2" s="406" t="s">
        <v>53</v>
      </c>
      <c r="B2" s="407"/>
      <c r="C2" s="407"/>
      <c r="D2" s="407"/>
      <c r="E2" s="407"/>
      <c r="F2" s="407"/>
      <c r="G2" s="407"/>
      <c r="H2" s="407"/>
      <c r="I2" s="407"/>
    </row>
    <row r="3" spans="1:9" ht="15" thickBot="1" x14ac:dyDescent="0.35">
      <c r="A3" s="408"/>
      <c r="B3" s="409"/>
      <c r="C3" s="409"/>
      <c r="D3" s="409"/>
      <c r="E3" s="409"/>
      <c r="F3" s="409"/>
      <c r="G3" s="409"/>
      <c r="H3" s="409"/>
      <c r="I3" s="409"/>
    </row>
    <row r="4" spans="1:9" ht="15" thickBot="1" x14ac:dyDescent="0.35">
      <c r="A4" s="83" t="s">
        <v>54</v>
      </c>
      <c r="B4" s="84">
        <v>5787038.7599999998</v>
      </c>
      <c r="C4" s="84">
        <v>2715787.76</v>
      </c>
      <c r="D4" s="84">
        <f>C4</f>
        <v>2715787.76</v>
      </c>
      <c r="E4" s="84">
        <f>D4</f>
        <v>2715787.76</v>
      </c>
      <c r="F4" s="84">
        <v>1168787.76</v>
      </c>
      <c r="G4" s="84">
        <v>1168787.76</v>
      </c>
      <c r="H4" s="84">
        <v>1168787.76</v>
      </c>
      <c r="I4" s="85">
        <f>SUM(B4:H4)</f>
        <v>17440765.32</v>
      </c>
    </row>
    <row r="5" spans="1:9" ht="15" thickBot="1" x14ac:dyDescent="0.35">
      <c r="A5" s="86"/>
      <c r="B5" s="87"/>
      <c r="C5" s="87"/>
      <c r="D5" s="87"/>
      <c r="E5" s="87"/>
      <c r="F5" s="87"/>
      <c r="G5" s="87"/>
      <c r="H5" s="87"/>
      <c r="I5" s="88"/>
    </row>
    <row r="6" spans="1:9" ht="15" thickBot="1" x14ac:dyDescent="0.35">
      <c r="A6" s="89" t="s">
        <v>55</v>
      </c>
      <c r="B6" s="91">
        <v>0</v>
      </c>
      <c r="C6" s="91">
        <v>0</v>
      </c>
      <c r="D6" s="91">
        <v>0</v>
      </c>
      <c r="E6" s="91">
        <v>0</v>
      </c>
      <c r="F6" s="91">
        <v>0</v>
      </c>
      <c r="G6" s="91">
        <v>0</v>
      </c>
      <c r="H6" s="91">
        <v>0</v>
      </c>
      <c r="I6" s="85">
        <v>0</v>
      </c>
    </row>
    <row r="7" spans="1:9" ht="15" thickBot="1" x14ac:dyDescent="0.35">
      <c r="A7" s="92"/>
      <c r="B7" s="87"/>
      <c r="C7" s="87"/>
      <c r="D7" s="87"/>
      <c r="E7" s="87"/>
      <c r="F7" s="87"/>
      <c r="G7" s="87"/>
      <c r="H7" s="87"/>
      <c r="I7" s="88"/>
    </row>
    <row r="8" spans="1:9" ht="15" thickBot="1" x14ac:dyDescent="0.35">
      <c r="A8" s="89" t="s">
        <v>56</v>
      </c>
      <c r="B8" s="93">
        <v>24500000</v>
      </c>
      <c r="C8" s="93">
        <v>10000000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85">
        <f>SUM(B8:H8)</f>
        <v>34500000</v>
      </c>
    </row>
    <row r="9" spans="1:9" ht="15" thickBot="1" x14ac:dyDescent="0.35">
      <c r="A9" s="86"/>
      <c r="B9" s="87"/>
      <c r="C9" s="87"/>
      <c r="D9" s="87"/>
      <c r="E9" s="87"/>
      <c r="F9" s="87"/>
      <c r="G9" s="87"/>
      <c r="H9" s="87"/>
      <c r="I9" s="88"/>
    </row>
    <row r="10" spans="1:9" ht="15" thickBot="1" x14ac:dyDescent="0.35">
      <c r="A10" s="89" t="s">
        <v>57</v>
      </c>
      <c r="B10" s="90">
        <v>2268518.4900000002</v>
      </c>
      <c r="C10" s="90">
        <v>4768518.49</v>
      </c>
      <c r="D10" s="90">
        <v>1250000</v>
      </c>
      <c r="E10" s="91">
        <v>0</v>
      </c>
      <c r="F10" s="91">
        <v>0</v>
      </c>
      <c r="G10" s="91">
        <v>0</v>
      </c>
      <c r="H10" s="91">
        <v>0</v>
      </c>
      <c r="I10" s="85">
        <f>SUM(B10:H10)</f>
        <v>8287036.9800000004</v>
      </c>
    </row>
    <row r="11" spans="1:9" ht="15" thickBot="1" x14ac:dyDescent="0.35">
      <c r="A11" s="92"/>
      <c r="B11" s="87"/>
      <c r="C11" s="87"/>
      <c r="D11" s="87"/>
      <c r="E11" s="87"/>
      <c r="F11" s="87"/>
      <c r="G11" s="87"/>
      <c r="H11" s="87"/>
      <c r="I11" s="88"/>
    </row>
    <row r="12" spans="1:9" ht="15" thickBot="1" x14ac:dyDescent="0.35">
      <c r="A12" s="89" t="s">
        <v>58</v>
      </c>
      <c r="B12" s="84">
        <v>1847960.88</v>
      </c>
      <c r="C12" s="84">
        <v>1348210.96</v>
      </c>
      <c r="D12" s="84">
        <v>96582.39</v>
      </c>
      <c r="E12" s="95">
        <v>0</v>
      </c>
      <c r="F12" s="95">
        <v>0</v>
      </c>
      <c r="G12" s="95">
        <v>0</v>
      </c>
      <c r="H12" s="95">
        <v>0</v>
      </c>
      <c r="I12" s="85">
        <f>SUM(B12:H12)</f>
        <v>3292754.23</v>
      </c>
    </row>
    <row r="13" spans="1:9" ht="15" thickBot="1" x14ac:dyDescent="0.35">
      <c r="A13" s="92"/>
      <c r="B13" s="87"/>
      <c r="C13" s="87"/>
      <c r="D13" s="87"/>
      <c r="E13" s="87"/>
      <c r="F13" s="87"/>
      <c r="G13" s="87"/>
      <c r="H13" s="87"/>
      <c r="I13" s="88"/>
    </row>
    <row r="14" spans="1:9" ht="15" thickBot="1" x14ac:dyDescent="0.35">
      <c r="A14" s="89" t="s">
        <v>59</v>
      </c>
      <c r="B14" s="84">
        <v>3856720</v>
      </c>
      <c r="C14" s="84">
        <f>B14</f>
        <v>3856720</v>
      </c>
      <c r="D14" s="84">
        <v>3178360</v>
      </c>
      <c r="E14" s="312">
        <v>15000000</v>
      </c>
      <c r="F14" s="312">
        <v>27500000</v>
      </c>
      <c r="G14" s="95">
        <v>0</v>
      </c>
      <c r="H14" s="95">
        <v>0</v>
      </c>
      <c r="I14" s="85">
        <f>SUM(B14:H14)</f>
        <v>53391800</v>
      </c>
    </row>
    <row r="15" spans="1:9" ht="15" thickBot="1" x14ac:dyDescent="0.35">
      <c r="A15" s="96"/>
      <c r="B15" s="87"/>
      <c r="C15" s="87"/>
      <c r="D15" s="87"/>
      <c r="E15" s="87"/>
      <c r="F15" s="87"/>
      <c r="G15" s="87"/>
      <c r="H15" s="87"/>
      <c r="I15" s="88"/>
    </row>
    <row r="16" spans="1:9" ht="15" thickBot="1" x14ac:dyDescent="0.35">
      <c r="A16" s="89" t="s">
        <v>60</v>
      </c>
      <c r="B16" s="90">
        <v>576520.81000000006</v>
      </c>
      <c r="C16" s="90">
        <v>383493.63</v>
      </c>
      <c r="D16" s="90">
        <v>136938.95000000001</v>
      </c>
      <c r="E16" s="91">
        <v>0</v>
      </c>
      <c r="F16" s="91">
        <v>0</v>
      </c>
      <c r="G16" s="91">
        <v>0</v>
      </c>
      <c r="H16" s="91">
        <v>0</v>
      </c>
      <c r="I16" s="85">
        <f>SUM(B16:H16)</f>
        <v>1096953.3900000001</v>
      </c>
    </row>
    <row r="17" spans="1:9" ht="15" thickBot="1" x14ac:dyDescent="0.35">
      <c r="A17" s="96"/>
      <c r="B17" s="87"/>
      <c r="C17" s="87"/>
      <c r="D17" s="87"/>
      <c r="E17" s="87"/>
      <c r="F17" s="87"/>
      <c r="G17" s="87"/>
      <c r="H17" s="87"/>
      <c r="I17" s="88"/>
    </row>
    <row r="18" spans="1:9" ht="15" thickBot="1" x14ac:dyDescent="0.35">
      <c r="A18" s="89" t="s">
        <v>61</v>
      </c>
      <c r="B18" s="90">
        <v>9707666.6600000001</v>
      </c>
      <c r="C18" s="90">
        <f>B18</f>
        <v>9707666.6600000001</v>
      </c>
      <c r="D18" s="90">
        <f>C18</f>
        <v>9707666.6600000001</v>
      </c>
      <c r="E18" s="91">
        <v>0</v>
      </c>
      <c r="F18" s="91">
        <v>0</v>
      </c>
      <c r="G18" s="91">
        <v>0</v>
      </c>
      <c r="H18" s="91">
        <v>0</v>
      </c>
      <c r="I18" s="85">
        <f>SUM(B18:H18)</f>
        <v>29122999.98</v>
      </c>
    </row>
    <row r="19" spans="1:9" ht="15" thickBot="1" x14ac:dyDescent="0.35">
      <c r="A19" s="96"/>
      <c r="B19" s="87"/>
      <c r="C19" s="87"/>
      <c r="D19" s="87"/>
      <c r="E19" s="87"/>
      <c r="F19" s="87"/>
      <c r="G19" s="87"/>
      <c r="H19" s="87"/>
      <c r="I19" s="88"/>
    </row>
    <row r="20" spans="1:9" ht="15" thickBot="1" x14ac:dyDescent="0.35">
      <c r="A20" s="89" t="s">
        <v>62</v>
      </c>
      <c r="B20" s="84">
        <v>6345540.4000000004</v>
      </c>
      <c r="C20" s="84">
        <v>2781178.65</v>
      </c>
      <c r="D20" s="84">
        <v>336773.58</v>
      </c>
      <c r="E20" s="95">
        <v>0</v>
      </c>
      <c r="F20" s="95">
        <v>0</v>
      </c>
      <c r="G20" s="95">
        <v>0</v>
      </c>
      <c r="H20" s="95">
        <v>0</v>
      </c>
      <c r="I20" s="85">
        <f>SUM(B20:H20)</f>
        <v>9463492.6300000008</v>
      </c>
    </row>
    <row r="21" spans="1:9" ht="15" thickBot="1" x14ac:dyDescent="0.35">
      <c r="A21" s="97"/>
      <c r="B21" s="87"/>
      <c r="C21" s="87"/>
      <c r="D21" s="87"/>
      <c r="E21" s="87"/>
      <c r="F21" s="87"/>
      <c r="G21" s="87"/>
      <c r="H21" s="87"/>
      <c r="I21" s="88"/>
    </row>
    <row r="22" spans="1:9" ht="15" thickBot="1" x14ac:dyDescent="0.35">
      <c r="A22" s="89" t="s">
        <v>85</v>
      </c>
      <c r="B22" s="98">
        <v>1833333</v>
      </c>
      <c r="C22" s="98">
        <v>2000000</v>
      </c>
      <c r="D22" s="98">
        <v>1000000</v>
      </c>
      <c r="E22" s="91" t="s">
        <v>119</v>
      </c>
      <c r="F22" s="91" t="s">
        <v>119</v>
      </c>
      <c r="G22" s="91" t="s">
        <v>119</v>
      </c>
      <c r="H22" s="91" t="s">
        <v>119</v>
      </c>
      <c r="I22" s="99">
        <f>SUM(B22:H22)</f>
        <v>4833333</v>
      </c>
    </row>
    <row r="23" spans="1:9" ht="15" thickBot="1" x14ac:dyDescent="0.35">
      <c r="A23" s="97"/>
      <c r="B23" s="87"/>
      <c r="C23" s="87"/>
      <c r="D23" s="87"/>
      <c r="E23" s="87"/>
      <c r="F23" s="87"/>
      <c r="G23" s="87"/>
      <c r="H23" s="87"/>
      <c r="I23" s="88"/>
    </row>
    <row r="24" spans="1:9" ht="15" thickBot="1" x14ac:dyDescent="0.35">
      <c r="A24" s="89" t="s">
        <v>63</v>
      </c>
      <c r="B24" s="84">
        <v>12116463.369999999</v>
      </c>
      <c r="C24" s="84">
        <v>2487000.0099999998</v>
      </c>
      <c r="D24" s="95">
        <v>0</v>
      </c>
      <c r="E24" s="95">
        <v>0</v>
      </c>
      <c r="F24" s="100" t="s">
        <v>120</v>
      </c>
      <c r="G24" s="100" t="s">
        <v>119</v>
      </c>
      <c r="H24" s="101" t="s">
        <v>119</v>
      </c>
      <c r="I24" s="85">
        <f>SUM(B24:H24)</f>
        <v>14603463.379999999</v>
      </c>
    </row>
    <row r="25" spans="1:9" ht="15" thickBot="1" x14ac:dyDescent="0.35">
      <c r="A25" s="97"/>
      <c r="B25" s="87"/>
      <c r="C25" s="87"/>
      <c r="D25" s="87"/>
      <c r="E25" s="87"/>
      <c r="F25" s="87"/>
      <c r="G25" s="87"/>
      <c r="H25" s="87"/>
      <c r="I25" s="88"/>
    </row>
    <row r="26" spans="1:9" ht="15" thickBot="1" x14ac:dyDescent="0.35">
      <c r="A26" s="89" t="s">
        <v>64</v>
      </c>
      <c r="B26" s="90">
        <v>3252555.08</v>
      </c>
      <c r="C26" s="90">
        <v>2796256.11</v>
      </c>
      <c r="D26" s="90">
        <v>132148.1</v>
      </c>
      <c r="E26" s="91">
        <v>0</v>
      </c>
      <c r="F26" s="91">
        <v>0</v>
      </c>
      <c r="G26" s="91">
        <v>0</v>
      </c>
      <c r="H26" s="91">
        <v>0</v>
      </c>
      <c r="I26" s="85">
        <f>SUM(B26:H26)</f>
        <v>6180959.2899999991</v>
      </c>
    </row>
    <row r="27" spans="1:9" ht="15" thickBot="1" x14ac:dyDescent="0.35">
      <c r="A27" s="97"/>
      <c r="B27" s="87"/>
      <c r="C27" s="87"/>
      <c r="D27" s="87"/>
      <c r="E27" s="87"/>
      <c r="F27" s="87"/>
      <c r="G27" s="87"/>
      <c r="H27" s="87"/>
      <c r="I27" s="88"/>
    </row>
    <row r="28" spans="1:9" ht="15" thickBot="1" x14ac:dyDescent="0.35">
      <c r="A28" s="89" t="s">
        <v>65</v>
      </c>
      <c r="B28" s="90">
        <v>1186035.79</v>
      </c>
      <c r="C28" s="90">
        <v>372082.68</v>
      </c>
      <c r="D28" s="90">
        <v>155035.20000000001</v>
      </c>
      <c r="E28" s="91">
        <v>0</v>
      </c>
      <c r="F28" s="91">
        <v>0</v>
      </c>
      <c r="G28" s="91">
        <v>0</v>
      </c>
      <c r="H28" s="91">
        <v>0</v>
      </c>
      <c r="I28" s="85">
        <f>SUM(B28:H28)</f>
        <v>1713153.67</v>
      </c>
    </row>
    <row r="29" spans="1:9" ht="15" thickBot="1" x14ac:dyDescent="0.35">
      <c r="A29" s="97"/>
      <c r="B29" s="87"/>
      <c r="C29" s="87"/>
      <c r="D29" s="87"/>
      <c r="E29" s="87"/>
      <c r="F29" s="87"/>
      <c r="G29" s="87"/>
      <c r="H29" s="87"/>
      <c r="I29" s="88"/>
    </row>
    <row r="30" spans="1:9" ht="15" thickBot="1" x14ac:dyDescent="0.35">
      <c r="A30" s="89" t="s">
        <v>66</v>
      </c>
      <c r="B30" s="91" t="s">
        <v>119</v>
      </c>
      <c r="C30" s="91" t="s">
        <v>119</v>
      </c>
      <c r="D30" s="91" t="s">
        <v>119</v>
      </c>
      <c r="E30" s="91" t="s">
        <v>119</v>
      </c>
      <c r="F30" s="91" t="s">
        <v>119</v>
      </c>
      <c r="G30" s="91" t="s">
        <v>119</v>
      </c>
      <c r="H30" s="91" t="s">
        <v>119</v>
      </c>
      <c r="I30" s="99">
        <f>SUM(B30:H30)</f>
        <v>0</v>
      </c>
    </row>
    <row r="31" spans="1:9" ht="15" thickBot="1" x14ac:dyDescent="0.35">
      <c r="A31" s="21"/>
      <c r="B31" s="87"/>
      <c r="C31" s="87"/>
      <c r="D31" s="87"/>
      <c r="E31" s="87"/>
      <c r="F31" s="87"/>
      <c r="G31" s="87"/>
      <c r="H31" s="87"/>
      <c r="I31" s="88"/>
    </row>
    <row r="32" spans="1:9" ht="15" thickBot="1" x14ac:dyDescent="0.35">
      <c r="A32" s="102" t="s">
        <v>86</v>
      </c>
      <c r="B32" s="91" t="s">
        <v>119</v>
      </c>
      <c r="C32" s="98">
        <v>24000000</v>
      </c>
      <c r="D32" s="98">
        <v>48000000</v>
      </c>
      <c r="E32" s="98">
        <v>48000000</v>
      </c>
      <c r="F32" s="91" t="s">
        <v>119</v>
      </c>
      <c r="G32" s="91" t="s">
        <v>119</v>
      </c>
      <c r="H32" s="91" t="s">
        <v>119</v>
      </c>
      <c r="I32" s="99">
        <f>SUM(B32:H32)</f>
        <v>120000000</v>
      </c>
    </row>
    <row r="33" spans="1:9" ht="15" thickBot="1" x14ac:dyDescent="0.35">
      <c r="A33" s="52"/>
      <c r="B33" s="87"/>
      <c r="C33" s="87"/>
      <c r="D33" s="87"/>
      <c r="E33" s="87"/>
      <c r="F33" s="87"/>
      <c r="G33" s="87"/>
      <c r="H33" s="87"/>
      <c r="I33" s="88"/>
    </row>
    <row r="34" spans="1:9" ht="15" thickBot="1" x14ac:dyDescent="0.35">
      <c r="A34" s="103" t="s">
        <v>67</v>
      </c>
      <c r="B34" s="104">
        <f>SUM(B4:B32)</f>
        <v>73278353.24000001</v>
      </c>
      <c r="C34" s="104">
        <f t="shared" ref="C34:H34" si="0">SUM(C4:C32)</f>
        <v>67216914.949999988</v>
      </c>
      <c r="D34" s="104">
        <f t="shared" si="0"/>
        <v>66709292.640000001</v>
      </c>
      <c r="E34" s="104">
        <f t="shared" si="0"/>
        <v>65715787.759999998</v>
      </c>
      <c r="F34" s="104">
        <f t="shared" si="0"/>
        <v>28668787.760000002</v>
      </c>
      <c r="G34" s="104">
        <f t="shared" si="0"/>
        <v>1168787.76</v>
      </c>
      <c r="H34" s="104">
        <f t="shared" si="0"/>
        <v>1168787.76</v>
      </c>
      <c r="I34" s="104">
        <f>SUM(B34:H34)</f>
        <v>303926711.86999995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2:I2"/>
    <mergeCell ref="A3:I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06F86-65DF-4382-A3CE-2E24878622FF}">
  <dimension ref="M1:S23"/>
  <sheetViews>
    <sheetView topLeftCell="H1" zoomScale="115" zoomScaleNormal="115" workbookViewId="0">
      <selection activeCell="N9" sqref="N9"/>
    </sheetView>
  </sheetViews>
  <sheetFormatPr defaultRowHeight="14.4" x14ac:dyDescent="0.3"/>
  <cols>
    <col min="13" max="13" width="26.6640625" bestFit="1" customWidth="1"/>
    <col min="14" max="14" width="11.5546875" bestFit="1" customWidth="1"/>
    <col min="15" max="16" width="10.6640625" customWidth="1"/>
    <col min="17" max="17" width="10.33203125" hidden="1" customWidth="1"/>
    <col min="18" max="18" width="10.6640625" hidden="1" customWidth="1"/>
    <col min="19" max="19" width="14.88671875" bestFit="1" customWidth="1"/>
  </cols>
  <sheetData>
    <row r="1" spans="13:19" x14ac:dyDescent="0.3">
      <c r="N1" s="399"/>
    </row>
    <row r="2" spans="13:19" x14ac:dyDescent="0.3">
      <c r="N2" s="317">
        <v>2024</v>
      </c>
      <c r="O2" t="s">
        <v>362</v>
      </c>
      <c r="Q2">
        <v>2023</v>
      </c>
      <c r="R2">
        <v>2024</v>
      </c>
    </row>
    <row r="3" spans="13:19" x14ac:dyDescent="0.3">
      <c r="M3" t="s">
        <v>100</v>
      </c>
      <c r="N3" s="171">
        <v>2350</v>
      </c>
      <c r="O3" s="171">
        <f>N3</f>
        <v>2350</v>
      </c>
      <c r="P3" s="171"/>
      <c r="Q3" s="171">
        <v>2400</v>
      </c>
      <c r="R3" s="171">
        <v>2400</v>
      </c>
    </row>
    <row r="4" spans="13:19" x14ac:dyDescent="0.3">
      <c r="M4" t="s">
        <v>101</v>
      </c>
      <c r="N4" s="60">
        <v>200</v>
      </c>
      <c r="O4" s="60">
        <f>80*4.9</f>
        <v>392</v>
      </c>
      <c r="P4" s="60"/>
      <c r="Q4" s="60">
        <v>200</v>
      </c>
      <c r="R4" s="60">
        <v>200</v>
      </c>
    </row>
    <row r="5" spans="13:19" x14ac:dyDescent="0.3">
      <c r="M5" t="s">
        <v>102</v>
      </c>
      <c r="N5" s="60">
        <f>N6-N3-N4</f>
        <v>167.82573940847305</v>
      </c>
      <c r="O5" s="60">
        <f>(O3+O4)*0.25%</f>
        <v>6.8550000000000004</v>
      </c>
      <c r="P5" s="60"/>
      <c r="Q5" s="60">
        <v>160.08492569002146</v>
      </c>
      <c r="R5" s="60">
        <v>160.08492569002146</v>
      </c>
    </row>
    <row r="6" spans="13:19" x14ac:dyDescent="0.3">
      <c r="M6" t="s">
        <v>103</v>
      </c>
      <c r="N6" s="60">
        <f>(N3+N4)/0.93825</f>
        <v>2717.8257394084731</v>
      </c>
      <c r="O6" s="60">
        <f>O3+O4</f>
        <v>2742</v>
      </c>
      <c r="P6" s="60"/>
      <c r="Q6" s="60">
        <v>2760.0849256900215</v>
      </c>
      <c r="R6" s="60">
        <v>2760.0849256900215</v>
      </c>
    </row>
    <row r="7" spans="13:19" x14ac:dyDescent="0.3">
      <c r="M7" t="s">
        <v>306</v>
      </c>
      <c r="N7" s="62">
        <v>0.4</v>
      </c>
      <c r="O7" s="62">
        <f>700000/3700000</f>
        <v>0.1891891891891892</v>
      </c>
      <c r="P7" s="62"/>
      <c r="Q7" s="62">
        <v>0.5</v>
      </c>
      <c r="R7" s="62">
        <v>0.4</v>
      </c>
    </row>
    <row r="8" spans="13:19" x14ac:dyDescent="0.3">
      <c r="M8" t="s">
        <v>110</v>
      </c>
      <c r="N8" s="15">
        <v>1.06</v>
      </c>
      <c r="O8" s="15"/>
      <c r="P8" s="15"/>
      <c r="Q8" s="15">
        <v>1.06</v>
      </c>
      <c r="R8" s="15">
        <v>1.06</v>
      </c>
    </row>
    <row r="9" spans="13:19" x14ac:dyDescent="0.3">
      <c r="M9" t="s">
        <v>111</v>
      </c>
      <c r="N9" s="63">
        <f>((N6*(1-N7))+(N6*N7*N8))*(1-O7)+(O6*O7)</f>
        <v>2775.2866679629265</v>
      </c>
      <c r="O9" s="63"/>
      <c r="P9" s="63"/>
      <c r="Q9" s="63">
        <v>2842.8874734607225</v>
      </c>
      <c r="R9" s="63">
        <v>2826.326963906582</v>
      </c>
      <c r="S9" s="15"/>
    </row>
    <row r="10" spans="13:19" x14ac:dyDescent="0.3">
      <c r="M10" t="s">
        <v>121</v>
      </c>
      <c r="N10" s="63">
        <f>N9*'[1]Comercialização&amp;Produção em Atr'!$J$5</f>
        <v>2912.6633580270918</v>
      </c>
      <c r="O10" s="63"/>
      <c r="P10" s="63"/>
      <c r="Q10" s="63">
        <v>2983.6104033970287</v>
      </c>
      <c r="R10" s="63">
        <v>2966.2301486199581</v>
      </c>
    </row>
    <row r="11" spans="13:19" x14ac:dyDescent="0.3">
      <c r="M11" t="s">
        <v>196</v>
      </c>
      <c r="N11" s="170">
        <v>2800</v>
      </c>
      <c r="O11" s="170"/>
      <c r="P11" s="170"/>
      <c r="Q11" s="170">
        <v>3100</v>
      </c>
      <c r="R11" s="170">
        <v>3100</v>
      </c>
    </row>
    <row r="12" spans="13:19" x14ac:dyDescent="0.3">
      <c r="M12" t="s">
        <v>195</v>
      </c>
      <c r="N12" s="171">
        <f>N11/'[1]Comercialização&amp;Produção em Atr'!$J$6</f>
        <v>1600.7317630916989</v>
      </c>
      <c r="O12" s="171"/>
      <c r="P12" s="171"/>
      <c r="Q12" s="171">
        <v>1772.2387377086668</v>
      </c>
      <c r="R12" s="171">
        <v>1772.2387377086668</v>
      </c>
    </row>
    <row r="13" spans="13:19" x14ac:dyDescent="0.3">
      <c r="M13" t="s">
        <v>197</v>
      </c>
    </row>
    <row r="14" spans="13:19" x14ac:dyDescent="0.3">
      <c r="M14" t="s">
        <v>198</v>
      </c>
      <c r="N14" s="62">
        <v>0.75</v>
      </c>
      <c r="O14" s="62"/>
      <c r="P14" s="62"/>
      <c r="Q14" s="62"/>
      <c r="R14" s="62"/>
    </row>
    <row r="15" spans="13:19" x14ac:dyDescent="0.3">
      <c r="M15" t="s">
        <v>73</v>
      </c>
      <c r="N15" s="62">
        <v>0.25</v>
      </c>
      <c r="O15" s="62"/>
      <c r="P15" s="62"/>
      <c r="Q15" s="62">
        <v>0.4</v>
      </c>
      <c r="R15" s="62">
        <v>0.25</v>
      </c>
    </row>
    <row r="16" spans="13:19" x14ac:dyDescent="0.3">
      <c r="M16" t="s">
        <v>199</v>
      </c>
      <c r="N16" s="190">
        <f>N14*N10+N12*N15</f>
        <v>2584.6804592932435</v>
      </c>
      <c r="O16" s="62"/>
      <c r="P16" s="62"/>
      <c r="Q16" s="63">
        <v>2499.061737121684</v>
      </c>
      <c r="R16" s="63">
        <v>2667.7322958921354</v>
      </c>
    </row>
    <row r="17" spans="13:18" x14ac:dyDescent="0.3">
      <c r="M17" t="s">
        <v>308</v>
      </c>
      <c r="N17" s="190">
        <f>((N16*(1-0.0421))*((N21/'Modelagem 12.23'!I20))+N16*(O21/'Modelagem 12.23'!I20))</f>
        <v>2492.8938056529973</v>
      </c>
      <c r="O17" s="62"/>
      <c r="P17" s="62"/>
      <c r="Q17" s="63"/>
      <c r="R17" s="63"/>
    </row>
    <row r="18" spans="13:18" x14ac:dyDescent="0.3">
      <c r="M18" t="s">
        <v>200</v>
      </c>
      <c r="N18" s="171">
        <f>'Modelagem 12.23'!I49</f>
        <v>103286.94247304846</v>
      </c>
      <c r="O18" s="62"/>
      <c r="P18" s="62"/>
      <c r="Q18" s="171">
        <v>69920.198978742788</v>
      </c>
      <c r="R18" s="171">
        <v>126162.42184253767</v>
      </c>
    </row>
    <row r="19" spans="13:18" hidden="1" x14ac:dyDescent="0.3">
      <c r="M19" t="s">
        <v>201</v>
      </c>
      <c r="N19" s="171">
        <f>'Modelagem 12.23'!I60</f>
        <v>61990.942473048461</v>
      </c>
      <c r="O19" s="62"/>
      <c r="P19" s="62"/>
      <c r="Q19" s="171">
        <v>9713.4067337427114</v>
      </c>
      <c r="R19" s="171">
        <v>-10593.938139210844</v>
      </c>
    </row>
    <row r="20" spans="13:18" x14ac:dyDescent="0.3">
      <c r="M20" s="171" t="s">
        <v>203</v>
      </c>
      <c r="N20" s="63">
        <f>N9/20</f>
        <v>138.76433339814633</v>
      </c>
      <c r="O20" s="62"/>
      <c r="P20" s="62"/>
      <c r="Q20" s="63">
        <v>142.14437367303611</v>
      </c>
      <c r="R20" s="63">
        <v>141.31634819532911</v>
      </c>
    </row>
    <row r="21" spans="13:18" x14ac:dyDescent="0.3">
      <c r="M21" t="s">
        <v>307</v>
      </c>
      <c r="N21" s="9">
        <f>'Modelagem 12.23'!I20-O21</f>
        <v>197995.96574000004</v>
      </c>
      <c r="O21" s="9">
        <f>(700000*'Comercialização&amp;Produção ATR 23'!K3)/1000</f>
        <v>36732.500000000007</v>
      </c>
      <c r="P21" s="9"/>
    </row>
    <row r="22" spans="13:18" x14ac:dyDescent="0.3">
      <c r="Q22" s="15">
        <f>23*22.462*4.95</f>
        <v>2557.2986999999998</v>
      </c>
    </row>
    <row r="23" spans="13:18" x14ac:dyDescent="0.3">
      <c r="O23" s="189"/>
      <c r="P23" s="189"/>
    </row>
  </sheetData>
  <sheetProtection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5DC87-F123-4CBA-9A1D-07B6BF90B5F5}">
  <dimension ref="A1:R51"/>
  <sheetViews>
    <sheetView workbookViewId="0">
      <selection sqref="A1:Q1"/>
    </sheetView>
  </sheetViews>
  <sheetFormatPr defaultRowHeight="14.4" outlineLevelRow="1" x14ac:dyDescent="0.3"/>
  <cols>
    <col min="1" max="1" width="26.44140625" bestFit="1" customWidth="1"/>
    <col min="2" max="2" width="8.109375" bestFit="1" customWidth="1"/>
    <col min="3" max="3" width="14.5546875" bestFit="1" customWidth="1"/>
    <col min="4" max="14" width="13" bestFit="1" customWidth="1"/>
    <col min="15" max="15" width="14.5546875" style="72" bestFit="1" customWidth="1"/>
    <col min="16" max="16" width="14.109375" bestFit="1" customWidth="1"/>
    <col min="17" max="17" width="14" bestFit="1" customWidth="1"/>
    <col min="18" max="18" width="11.33203125" bestFit="1" customWidth="1"/>
  </cols>
  <sheetData>
    <row r="1" spans="1:17" ht="15" thickBot="1" x14ac:dyDescent="0.35">
      <c r="A1" s="410" t="s">
        <v>335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2"/>
    </row>
    <row r="2" spans="1:17" outlineLevel="1" x14ac:dyDescent="0.3">
      <c r="A2" s="318" t="s">
        <v>336</v>
      </c>
      <c r="B2" s="319" t="s">
        <v>337</v>
      </c>
      <c r="C2" s="320">
        <v>45383</v>
      </c>
      <c r="D2" s="321">
        <v>45413</v>
      </c>
      <c r="E2" s="321">
        <v>45444</v>
      </c>
      <c r="F2" s="321">
        <v>45474</v>
      </c>
      <c r="G2" s="321">
        <v>45505</v>
      </c>
      <c r="H2" s="321">
        <v>45536</v>
      </c>
      <c r="I2" s="321">
        <v>45566</v>
      </c>
      <c r="J2" s="321">
        <v>45597</v>
      </c>
      <c r="K2" s="321">
        <v>45627</v>
      </c>
      <c r="L2" s="322">
        <v>45658</v>
      </c>
      <c r="M2" s="322">
        <v>45689</v>
      </c>
      <c r="N2" s="322">
        <v>45717</v>
      </c>
      <c r="O2" s="323" t="s">
        <v>52</v>
      </c>
      <c r="P2" s="324">
        <v>2024</v>
      </c>
      <c r="Q2" s="325">
        <v>2025</v>
      </c>
    </row>
    <row r="3" spans="1:17" outlineLevel="1" x14ac:dyDescent="0.3">
      <c r="A3" s="326" t="s">
        <v>266</v>
      </c>
      <c r="B3" s="326" t="s">
        <v>241</v>
      </c>
      <c r="C3" s="327">
        <v>50000</v>
      </c>
      <c r="D3" s="327">
        <v>110000</v>
      </c>
      <c r="E3" s="327">
        <v>110000</v>
      </c>
      <c r="F3" s="327">
        <v>110000</v>
      </c>
      <c r="G3" s="327">
        <v>75000</v>
      </c>
      <c r="H3" s="327">
        <v>70000</v>
      </c>
      <c r="I3" s="327">
        <v>205000</v>
      </c>
      <c r="J3" s="327">
        <v>110000</v>
      </c>
      <c r="K3" s="327">
        <v>310000</v>
      </c>
      <c r="L3" s="328">
        <v>70000</v>
      </c>
      <c r="M3" s="328">
        <v>70000</v>
      </c>
      <c r="N3" s="328">
        <v>70000</v>
      </c>
      <c r="O3" s="329">
        <f>SUM(C3:N3)</f>
        <v>1360000</v>
      </c>
      <c r="P3" s="172">
        <f>SUM(C3:K3)</f>
        <v>1150000</v>
      </c>
      <c r="Q3" s="330">
        <f>SUM(L3:N3)</f>
        <v>210000</v>
      </c>
    </row>
    <row r="4" spans="1:17" outlineLevel="1" x14ac:dyDescent="0.3">
      <c r="A4" s="326" t="s">
        <v>268</v>
      </c>
      <c r="B4" s="73" t="s">
        <v>253</v>
      </c>
      <c r="C4" s="327">
        <v>150000</v>
      </c>
      <c r="D4" s="327">
        <v>250000</v>
      </c>
      <c r="E4" s="327">
        <v>270000</v>
      </c>
      <c r="F4" s="327">
        <v>250000</v>
      </c>
      <c r="G4" s="327">
        <v>230000</v>
      </c>
      <c r="H4" s="327">
        <v>190000</v>
      </c>
      <c r="I4" s="327">
        <v>210000</v>
      </c>
      <c r="J4" s="327">
        <v>230000</v>
      </c>
      <c r="K4" s="327">
        <v>230000</v>
      </c>
      <c r="L4" s="328">
        <v>200000</v>
      </c>
      <c r="M4" s="328">
        <v>200000</v>
      </c>
      <c r="N4" s="328">
        <v>200000</v>
      </c>
      <c r="O4" s="329">
        <f>SUM(C4:N4)</f>
        <v>2610000</v>
      </c>
      <c r="P4" s="172">
        <f t="shared" ref="P4:P6" si="0">SUM(C4:K4)</f>
        <v>2010000</v>
      </c>
      <c r="Q4" s="330">
        <f t="shared" ref="Q4:Q6" si="1">SUM(L4:N4)</f>
        <v>600000</v>
      </c>
    </row>
    <row r="5" spans="1:17" outlineLevel="1" x14ac:dyDescent="0.3">
      <c r="A5" s="326" t="s">
        <v>270</v>
      </c>
      <c r="B5" s="326" t="s">
        <v>253</v>
      </c>
      <c r="C5" s="327">
        <v>7500</v>
      </c>
      <c r="D5" s="327">
        <v>12500</v>
      </c>
      <c r="E5" s="327">
        <v>13500</v>
      </c>
      <c r="F5" s="327">
        <v>12500</v>
      </c>
      <c r="G5" s="327">
        <v>11500</v>
      </c>
      <c r="H5" s="327">
        <v>9500</v>
      </c>
      <c r="I5" s="327">
        <v>10500</v>
      </c>
      <c r="J5" s="327">
        <v>11500</v>
      </c>
      <c r="K5" s="327">
        <v>11500</v>
      </c>
      <c r="L5" s="328">
        <v>10000</v>
      </c>
      <c r="M5" s="328">
        <v>10000</v>
      </c>
      <c r="N5" s="328">
        <v>10000</v>
      </c>
      <c r="O5" s="329">
        <f>SUM(C5:N5)</f>
        <v>130500</v>
      </c>
      <c r="P5" s="172">
        <f t="shared" si="0"/>
        <v>100500</v>
      </c>
      <c r="Q5" s="330">
        <f t="shared" si="1"/>
        <v>30000</v>
      </c>
    </row>
    <row r="6" spans="1:17" outlineLevel="1" x14ac:dyDescent="0.3">
      <c r="A6" s="326" t="s">
        <v>272</v>
      </c>
      <c r="B6" s="326" t="s">
        <v>250</v>
      </c>
      <c r="C6" s="327">
        <v>1250000</v>
      </c>
      <c r="D6" s="327">
        <v>1250000</v>
      </c>
      <c r="E6" s="327">
        <v>1250000</v>
      </c>
      <c r="F6" s="327">
        <v>1250000</v>
      </c>
      <c r="G6" s="327">
        <v>1250000</v>
      </c>
      <c r="H6" s="327">
        <v>1250000</v>
      </c>
      <c r="I6" s="327">
        <v>1250000</v>
      </c>
      <c r="J6" s="327">
        <v>1250000</v>
      </c>
      <c r="K6" s="327">
        <v>1250000</v>
      </c>
      <c r="L6" s="328">
        <v>1250000</v>
      </c>
      <c r="M6" s="328">
        <v>1250000</v>
      </c>
      <c r="N6" s="328">
        <v>1250000</v>
      </c>
      <c r="O6" s="329">
        <f>SUM(C6:N6)</f>
        <v>15000000</v>
      </c>
      <c r="P6" s="172">
        <f t="shared" si="0"/>
        <v>11250000</v>
      </c>
      <c r="Q6" s="330">
        <f t="shared" si="1"/>
        <v>3750000</v>
      </c>
    </row>
    <row r="7" spans="1:17" ht="15" outlineLevel="1" thickBot="1" x14ac:dyDescent="0.35">
      <c r="A7" s="331" t="s">
        <v>52</v>
      </c>
      <c r="B7" s="331" t="s">
        <v>338</v>
      </c>
      <c r="C7" s="332">
        <f>C3+C4*0.6+C5*0.6+C6/50</f>
        <v>169500</v>
      </c>
      <c r="D7" s="332">
        <f t="shared" ref="D7:Q7" si="2">D3+D4*0.6+D5*0.6+D6/50</f>
        <v>292500</v>
      </c>
      <c r="E7" s="332">
        <f t="shared" si="2"/>
        <v>305100</v>
      </c>
      <c r="F7" s="332">
        <f t="shared" si="2"/>
        <v>292500</v>
      </c>
      <c r="G7" s="332">
        <f t="shared" si="2"/>
        <v>244900</v>
      </c>
      <c r="H7" s="332">
        <f t="shared" si="2"/>
        <v>214700</v>
      </c>
      <c r="I7" s="332">
        <f t="shared" si="2"/>
        <v>362300</v>
      </c>
      <c r="J7" s="332">
        <f t="shared" si="2"/>
        <v>279900</v>
      </c>
      <c r="K7" s="332">
        <f t="shared" si="2"/>
        <v>479900</v>
      </c>
      <c r="L7" s="332">
        <f t="shared" si="2"/>
        <v>221000</v>
      </c>
      <c r="M7" s="332">
        <f t="shared" si="2"/>
        <v>221000</v>
      </c>
      <c r="N7" s="332">
        <f t="shared" si="2"/>
        <v>221000</v>
      </c>
      <c r="O7" s="333">
        <f t="shared" si="2"/>
        <v>3304300</v>
      </c>
      <c r="P7" s="334">
        <f t="shared" si="2"/>
        <v>2641300</v>
      </c>
      <c r="Q7" s="334">
        <f t="shared" si="2"/>
        <v>663000</v>
      </c>
    </row>
    <row r="8" spans="1:17" ht="15" outlineLevel="1" thickTop="1" x14ac:dyDescent="0.3">
      <c r="A8" s="335" t="s">
        <v>339</v>
      </c>
    </row>
    <row r="9" spans="1:17" outlineLevel="1" x14ac:dyDescent="0.3">
      <c r="A9" s="336" t="s">
        <v>266</v>
      </c>
      <c r="B9" s="337" t="s">
        <v>278</v>
      </c>
      <c r="C9" s="338">
        <v>145</v>
      </c>
      <c r="D9" s="338">
        <v>145</v>
      </c>
      <c r="E9" s="338">
        <v>145</v>
      </c>
      <c r="F9" s="338">
        <v>145</v>
      </c>
      <c r="G9" s="338">
        <v>140</v>
      </c>
      <c r="H9" s="338">
        <v>135</v>
      </c>
      <c r="I9" s="338">
        <v>135</v>
      </c>
      <c r="J9" s="338">
        <v>140</v>
      </c>
      <c r="K9" s="338">
        <v>140</v>
      </c>
      <c r="L9" s="338">
        <v>140</v>
      </c>
      <c r="M9" s="338">
        <v>140</v>
      </c>
      <c r="N9" s="338">
        <v>140</v>
      </c>
      <c r="O9" s="339">
        <f>AVERAGE(C9:N9)</f>
        <v>140.83333333333334</v>
      </c>
      <c r="P9" s="340">
        <f>AVERAGE(C9:K9)</f>
        <v>141.11111111111111</v>
      </c>
      <c r="Q9" s="341">
        <f>AVERAGE(L9:N9)</f>
        <v>140</v>
      </c>
    </row>
    <row r="10" spans="1:17" outlineLevel="1" x14ac:dyDescent="0.3">
      <c r="A10" s="342" t="s">
        <v>268</v>
      </c>
      <c r="B10" s="343" t="s">
        <v>279</v>
      </c>
      <c r="C10" s="344">
        <v>93.09</v>
      </c>
      <c r="D10" s="344">
        <v>93.09</v>
      </c>
      <c r="E10" s="344">
        <v>93.09</v>
      </c>
      <c r="F10" s="344">
        <v>93.09</v>
      </c>
      <c r="G10" s="344">
        <v>89.88000000000001</v>
      </c>
      <c r="H10" s="344">
        <v>86.67</v>
      </c>
      <c r="I10" s="344">
        <v>86.67</v>
      </c>
      <c r="J10" s="344">
        <v>89.88000000000001</v>
      </c>
      <c r="K10" s="344">
        <v>89.88000000000001</v>
      </c>
      <c r="L10" s="344">
        <v>92.4</v>
      </c>
      <c r="M10" s="344">
        <v>92.4</v>
      </c>
      <c r="N10" s="344">
        <v>92.4</v>
      </c>
      <c r="O10" s="345">
        <f t="shared" ref="O10:O12" si="3">AVERAGE(C10:N10)</f>
        <v>91.045000000000002</v>
      </c>
      <c r="P10" s="340">
        <f t="shared" ref="P10:P12" si="4">AVERAGE(C10:K10)</f>
        <v>90.59333333333332</v>
      </c>
      <c r="Q10" s="341">
        <f t="shared" ref="Q10:Q12" si="5">AVERAGE(L10:N10)</f>
        <v>92.40000000000002</v>
      </c>
    </row>
    <row r="11" spans="1:17" outlineLevel="1" x14ac:dyDescent="0.3">
      <c r="A11" s="342" t="s">
        <v>270</v>
      </c>
      <c r="B11" s="343" t="s">
        <v>279</v>
      </c>
      <c r="C11" s="344">
        <v>99.606300000000005</v>
      </c>
      <c r="D11" s="344">
        <v>99.606300000000005</v>
      </c>
      <c r="E11" s="344">
        <v>102</v>
      </c>
      <c r="F11" s="344">
        <v>99.606300000000005</v>
      </c>
      <c r="G11" s="344">
        <v>96.171600000000012</v>
      </c>
      <c r="H11" s="344">
        <v>92.736900000000006</v>
      </c>
      <c r="I11" s="344">
        <v>92.736900000000006</v>
      </c>
      <c r="J11" s="344">
        <v>96.171600000000012</v>
      </c>
      <c r="K11" s="344">
        <v>96.171600000000012</v>
      </c>
      <c r="L11" s="344">
        <v>98.868000000000009</v>
      </c>
      <c r="M11" s="344">
        <v>98.868000000000009</v>
      </c>
      <c r="N11" s="344">
        <v>98.868000000000009</v>
      </c>
      <c r="O11" s="345">
        <f t="shared" si="3"/>
        <v>97.61762499999999</v>
      </c>
      <c r="P11" s="340">
        <f t="shared" si="4"/>
        <v>97.200833333333335</v>
      </c>
      <c r="Q11" s="341">
        <f t="shared" si="5"/>
        <v>98.868000000000009</v>
      </c>
    </row>
    <row r="12" spans="1:17" outlineLevel="1" x14ac:dyDescent="0.3">
      <c r="A12" s="346" t="s">
        <v>272</v>
      </c>
      <c r="B12" s="347" t="s">
        <v>280</v>
      </c>
      <c r="C12" s="348">
        <v>2.9</v>
      </c>
      <c r="D12" s="348">
        <v>2.9</v>
      </c>
      <c r="E12" s="348">
        <v>2.9</v>
      </c>
      <c r="F12" s="348">
        <v>2.9</v>
      </c>
      <c r="G12" s="348">
        <v>2.8</v>
      </c>
      <c r="H12" s="348">
        <v>2.7</v>
      </c>
      <c r="I12" s="348">
        <v>2.7</v>
      </c>
      <c r="J12" s="348">
        <v>2.8</v>
      </c>
      <c r="K12" s="348">
        <v>2.8</v>
      </c>
      <c r="L12" s="348">
        <v>2.8</v>
      </c>
      <c r="M12" s="348">
        <v>2.8</v>
      </c>
      <c r="N12" s="348">
        <v>2.8</v>
      </c>
      <c r="O12" s="349">
        <f t="shared" si="3"/>
        <v>2.8166666666666664</v>
      </c>
      <c r="P12" s="340">
        <f t="shared" si="4"/>
        <v>2.822222222222222</v>
      </c>
      <c r="Q12" s="341">
        <f t="shared" si="5"/>
        <v>2.7999999999999994</v>
      </c>
    </row>
    <row r="13" spans="1:17" ht="15" outlineLevel="1" thickBot="1" x14ac:dyDescent="0.35">
      <c r="A13" s="350"/>
      <c r="B13" s="351" t="s">
        <v>340</v>
      </c>
      <c r="C13" s="352">
        <f>C19/C7</f>
        <v>150.94718141592921</v>
      </c>
      <c r="D13" s="352">
        <f t="shared" ref="D13:N13" si="6">D19/D7</f>
        <v>150.74385897435897</v>
      </c>
      <c r="E13" s="352">
        <f t="shared" si="6"/>
        <v>151.05309734513276</v>
      </c>
      <c r="F13" s="352">
        <f t="shared" si="6"/>
        <v>150.74385897435897</v>
      </c>
      <c r="G13" s="352">
        <f t="shared" si="6"/>
        <v>146.0938072682728</v>
      </c>
      <c r="H13" s="352">
        <f t="shared" si="6"/>
        <v>140.53703097345132</v>
      </c>
      <c r="I13" s="352">
        <f t="shared" si="6"/>
        <v>138.62665594810932</v>
      </c>
      <c r="J13" s="352">
        <f t="shared" si="6"/>
        <v>145.3318092175777</v>
      </c>
      <c r="K13" s="352">
        <f t="shared" si="6"/>
        <v>143.10975911648262</v>
      </c>
      <c r="L13" s="352">
        <f t="shared" si="6"/>
        <v>148.27457013574661</v>
      </c>
      <c r="M13" s="352">
        <f t="shared" si="6"/>
        <v>148.27457013574661</v>
      </c>
      <c r="N13" s="352">
        <f t="shared" si="6"/>
        <v>148.27457013574661</v>
      </c>
      <c r="O13" s="339">
        <f>AVERAGE(C13:N13)</f>
        <v>146.8342308034095</v>
      </c>
      <c r="P13" s="340">
        <f>AVERAGE(C13:K13)</f>
        <v>146.35411769263044</v>
      </c>
      <c r="Q13" s="341">
        <f>AVERAGE(L13:N13)</f>
        <v>148.27457013574661</v>
      </c>
    </row>
    <row r="14" spans="1:17" ht="15" outlineLevel="1" thickTop="1" x14ac:dyDescent="0.3">
      <c r="A14" s="335" t="s">
        <v>341</v>
      </c>
    </row>
    <row r="15" spans="1:17" outlineLevel="1" x14ac:dyDescent="0.3">
      <c r="A15" s="326" t="s">
        <v>266</v>
      </c>
      <c r="B15" s="326" t="s">
        <v>298</v>
      </c>
      <c r="C15" s="353">
        <f t="shared" ref="C15:N18" si="7">C3*C9</f>
        <v>7250000</v>
      </c>
      <c r="D15" s="353">
        <f t="shared" si="7"/>
        <v>15950000</v>
      </c>
      <c r="E15" s="353">
        <f t="shared" si="7"/>
        <v>15950000</v>
      </c>
      <c r="F15" s="353">
        <f t="shared" si="7"/>
        <v>15950000</v>
      </c>
      <c r="G15" s="353">
        <f t="shared" si="7"/>
        <v>10500000</v>
      </c>
      <c r="H15" s="353">
        <f t="shared" si="7"/>
        <v>9450000</v>
      </c>
      <c r="I15" s="353">
        <f t="shared" si="7"/>
        <v>27675000</v>
      </c>
      <c r="J15" s="353">
        <f t="shared" si="7"/>
        <v>15400000</v>
      </c>
      <c r="K15" s="353">
        <f t="shared" si="7"/>
        <v>43400000</v>
      </c>
      <c r="L15" s="354">
        <f t="shared" si="7"/>
        <v>9800000</v>
      </c>
      <c r="M15" s="354">
        <f t="shared" si="7"/>
        <v>9800000</v>
      </c>
      <c r="N15" s="354">
        <f t="shared" si="7"/>
        <v>9800000</v>
      </c>
      <c r="O15" s="355">
        <f>SUM(C15:N15)</f>
        <v>190925000</v>
      </c>
      <c r="P15" s="353">
        <f>SUM(C15:K15)</f>
        <v>161525000</v>
      </c>
      <c r="Q15" s="354">
        <f>SUM(L15:N15)</f>
        <v>29400000</v>
      </c>
    </row>
    <row r="16" spans="1:17" outlineLevel="1" x14ac:dyDescent="0.3">
      <c r="A16" s="326" t="s">
        <v>268</v>
      </c>
      <c r="B16" s="326" t="s">
        <v>298</v>
      </c>
      <c r="C16" s="353">
        <f t="shared" si="7"/>
        <v>13963500</v>
      </c>
      <c r="D16" s="353">
        <f t="shared" si="7"/>
        <v>23272500</v>
      </c>
      <c r="E16" s="353">
        <f t="shared" si="7"/>
        <v>25134300</v>
      </c>
      <c r="F16" s="353">
        <f t="shared" si="7"/>
        <v>23272500</v>
      </c>
      <c r="G16" s="353">
        <f t="shared" si="7"/>
        <v>20672400.000000004</v>
      </c>
      <c r="H16" s="353">
        <f t="shared" si="7"/>
        <v>16467300</v>
      </c>
      <c r="I16" s="353">
        <f t="shared" si="7"/>
        <v>18200700</v>
      </c>
      <c r="J16" s="353">
        <f t="shared" si="7"/>
        <v>20672400.000000004</v>
      </c>
      <c r="K16" s="353">
        <f t="shared" si="7"/>
        <v>20672400.000000004</v>
      </c>
      <c r="L16" s="354">
        <f t="shared" si="7"/>
        <v>18480000</v>
      </c>
      <c r="M16" s="354">
        <f t="shared" si="7"/>
        <v>18480000</v>
      </c>
      <c r="N16" s="354">
        <f t="shared" si="7"/>
        <v>18480000</v>
      </c>
      <c r="O16" s="355">
        <f t="shared" ref="O16:O18" si="8">SUM(C16:N16)</f>
        <v>237768000</v>
      </c>
      <c r="P16" s="353">
        <f t="shared" ref="P16:P18" si="9">SUM(C16:K16)</f>
        <v>182328000</v>
      </c>
      <c r="Q16" s="354">
        <f t="shared" ref="Q16:Q18" si="10">SUM(L16:N16)</f>
        <v>55440000</v>
      </c>
    </row>
    <row r="17" spans="1:17" outlineLevel="1" x14ac:dyDescent="0.3">
      <c r="A17" s="326" t="s">
        <v>270</v>
      </c>
      <c r="B17" s="326" t="s">
        <v>298</v>
      </c>
      <c r="C17" s="353">
        <f t="shared" si="7"/>
        <v>747047.25</v>
      </c>
      <c r="D17" s="353">
        <f t="shared" si="7"/>
        <v>1245078.75</v>
      </c>
      <c r="E17" s="353">
        <f t="shared" si="7"/>
        <v>1377000</v>
      </c>
      <c r="F17" s="353">
        <f t="shared" si="7"/>
        <v>1245078.75</v>
      </c>
      <c r="G17" s="353">
        <f t="shared" si="7"/>
        <v>1105973.4000000001</v>
      </c>
      <c r="H17" s="353">
        <f t="shared" si="7"/>
        <v>881000.55</v>
      </c>
      <c r="I17" s="353">
        <f t="shared" si="7"/>
        <v>973737.45000000007</v>
      </c>
      <c r="J17" s="353">
        <f t="shared" si="7"/>
        <v>1105973.4000000001</v>
      </c>
      <c r="K17" s="353">
        <f t="shared" si="7"/>
        <v>1105973.4000000001</v>
      </c>
      <c r="L17" s="354">
        <f t="shared" si="7"/>
        <v>988680.00000000012</v>
      </c>
      <c r="M17" s="354">
        <f t="shared" si="7"/>
        <v>988680.00000000012</v>
      </c>
      <c r="N17" s="354">
        <f t="shared" si="7"/>
        <v>988680.00000000012</v>
      </c>
      <c r="O17" s="355">
        <f t="shared" si="8"/>
        <v>12752902.950000001</v>
      </c>
      <c r="P17" s="353">
        <f t="shared" si="9"/>
        <v>9786862.9500000011</v>
      </c>
      <c r="Q17" s="354">
        <f t="shared" si="10"/>
        <v>2966040.0000000005</v>
      </c>
    </row>
    <row r="18" spans="1:17" outlineLevel="1" x14ac:dyDescent="0.3">
      <c r="A18" s="326" t="s">
        <v>272</v>
      </c>
      <c r="B18" s="326" t="s">
        <v>298</v>
      </c>
      <c r="C18" s="353">
        <f t="shared" si="7"/>
        <v>3625000</v>
      </c>
      <c r="D18" s="353">
        <f t="shared" si="7"/>
        <v>3625000</v>
      </c>
      <c r="E18" s="353">
        <f t="shared" si="7"/>
        <v>3625000</v>
      </c>
      <c r="F18" s="353">
        <f t="shared" si="7"/>
        <v>3625000</v>
      </c>
      <c r="G18" s="353">
        <f t="shared" si="7"/>
        <v>3500000</v>
      </c>
      <c r="H18" s="353">
        <f t="shared" si="7"/>
        <v>3375000</v>
      </c>
      <c r="I18" s="353">
        <f t="shared" si="7"/>
        <v>3375000</v>
      </c>
      <c r="J18" s="353">
        <f t="shared" si="7"/>
        <v>3500000</v>
      </c>
      <c r="K18" s="353">
        <f t="shared" si="7"/>
        <v>3500000</v>
      </c>
      <c r="L18" s="354">
        <f t="shared" si="7"/>
        <v>3500000</v>
      </c>
      <c r="M18" s="354">
        <f t="shared" si="7"/>
        <v>3500000</v>
      </c>
      <c r="N18" s="354">
        <f t="shared" si="7"/>
        <v>3500000</v>
      </c>
      <c r="O18" s="355">
        <f t="shared" si="8"/>
        <v>42250000</v>
      </c>
      <c r="P18" s="353">
        <f t="shared" si="9"/>
        <v>31750000</v>
      </c>
      <c r="Q18" s="354">
        <f t="shared" si="10"/>
        <v>10500000</v>
      </c>
    </row>
    <row r="19" spans="1:17" ht="15" thickBot="1" x14ac:dyDescent="0.35">
      <c r="A19" s="356" t="s">
        <v>342</v>
      </c>
      <c r="B19" s="356" t="s">
        <v>298</v>
      </c>
      <c r="C19" s="357">
        <f t="shared" ref="C19:N19" si="11">SUM(C15:C18)</f>
        <v>25585547.25</v>
      </c>
      <c r="D19" s="357">
        <f t="shared" si="11"/>
        <v>44092578.75</v>
      </c>
      <c r="E19" s="357">
        <f t="shared" si="11"/>
        <v>46086300</v>
      </c>
      <c r="F19" s="357">
        <f t="shared" si="11"/>
        <v>44092578.75</v>
      </c>
      <c r="G19" s="357">
        <f t="shared" si="11"/>
        <v>35778373.400000006</v>
      </c>
      <c r="H19" s="357">
        <f t="shared" si="11"/>
        <v>30173300.550000001</v>
      </c>
      <c r="I19" s="357">
        <f t="shared" si="11"/>
        <v>50224437.450000003</v>
      </c>
      <c r="J19" s="357">
        <f t="shared" si="11"/>
        <v>40678373.399999999</v>
      </c>
      <c r="K19" s="357">
        <f t="shared" si="11"/>
        <v>68678373.400000006</v>
      </c>
      <c r="L19" s="357">
        <f t="shared" si="11"/>
        <v>32768680</v>
      </c>
      <c r="M19" s="357">
        <f t="shared" si="11"/>
        <v>32768680</v>
      </c>
      <c r="N19" s="357">
        <f t="shared" si="11"/>
        <v>32768680</v>
      </c>
      <c r="O19" s="358">
        <f>SUM(O15:O18)</f>
        <v>483695902.94999999</v>
      </c>
      <c r="P19" s="359">
        <f t="shared" ref="P19:Q19" si="12">SUM(P15:P18)</f>
        <v>385389862.94999999</v>
      </c>
      <c r="Q19" s="359">
        <f t="shared" si="12"/>
        <v>98306040</v>
      </c>
    </row>
    <row r="20" spans="1:17" ht="15.6" thickTop="1" thickBot="1" x14ac:dyDescent="0.35">
      <c r="A20" s="350"/>
      <c r="B20" s="350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1"/>
      <c r="P20" s="360"/>
      <c r="Q20" s="360"/>
    </row>
    <row r="21" spans="1:17" ht="15" thickBot="1" x14ac:dyDescent="0.35">
      <c r="A21" s="410" t="s">
        <v>343</v>
      </c>
      <c r="B21" s="411"/>
      <c r="C21" s="411"/>
      <c r="D21" s="411"/>
      <c r="E21" s="411"/>
      <c r="F21" s="411"/>
      <c r="G21" s="411"/>
      <c r="H21" s="411"/>
      <c r="I21" s="411"/>
      <c r="J21" s="411"/>
      <c r="K21" s="411"/>
      <c r="L21" s="411"/>
      <c r="M21" s="411"/>
      <c r="N21" s="411"/>
      <c r="O21" s="411"/>
      <c r="P21" s="411"/>
      <c r="Q21" s="412"/>
    </row>
    <row r="22" spans="1:17" hidden="1" outlineLevel="1" x14ac:dyDescent="0.3">
      <c r="A22" s="318" t="s">
        <v>336</v>
      </c>
      <c r="B22" s="319" t="s">
        <v>337</v>
      </c>
      <c r="C22" s="320">
        <v>45383</v>
      </c>
      <c r="D22" s="321">
        <v>45413</v>
      </c>
      <c r="E22" s="321">
        <v>45444</v>
      </c>
      <c r="F22" s="321">
        <v>45474</v>
      </c>
      <c r="G22" s="321">
        <v>45505</v>
      </c>
      <c r="H22" s="321">
        <v>45536</v>
      </c>
      <c r="I22" s="321">
        <v>45566</v>
      </c>
      <c r="J22" s="321">
        <v>45597</v>
      </c>
      <c r="K22" s="321">
        <v>45627</v>
      </c>
      <c r="L22" s="322">
        <v>45658</v>
      </c>
      <c r="M22" s="322">
        <v>45689</v>
      </c>
      <c r="N22" s="322">
        <v>45717</v>
      </c>
      <c r="O22" s="323" t="s">
        <v>52</v>
      </c>
      <c r="P22" s="324">
        <v>2024</v>
      </c>
      <c r="Q22" s="325">
        <v>2025</v>
      </c>
    </row>
    <row r="23" spans="1:17" hidden="1" outlineLevel="1" x14ac:dyDescent="0.3">
      <c r="A23" s="73" t="s">
        <v>256</v>
      </c>
      <c r="B23" s="231" t="s">
        <v>257</v>
      </c>
      <c r="C23" s="327">
        <v>0</v>
      </c>
      <c r="D23" s="327">
        <v>6500000</v>
      </c>
      <c r="E23" s="327">
        <v>6500000</v>
      </c>
      <c r="F23" s="327">
        <v>6500000</v>
      </c>
      <c r="G23" s="327">
        <v>6500000</v>
      </c>
      <c r="H23" s="327">
        <v>6500000</v>
      </c>
      <c r="I23" s="327">
        <v>6500000</v>
      </c>
      <c r="J23" s="327">
        <v>0</v>
      </c>
      <c r="K23" s="327">
        <v>0</v>
      </c>
      <c r="L23" s="327">
        <v>0</v>
      </c>
      <c r="M23" s="327">
        <v>430074</v>
      </c>
      <c r="N23" s="327">
        <v>134626</v>
      </c>
      <c r="O23" s="329">
        <f>SUM(C23:N23)</f>
        <v>39564700</v>
      </c>
      <c r="P23" s="172">
        <f>SUM(C23:K23)</f>
        <v>39000000</v>
      </c>
      <c r="Q23" s="330">
        <f>SUM(L23:N23)</f>
        <v>564700</v>
      </c>
    </row>
    <row r="24" spans="1:17" hidden="1" outlineLevel="1" x14ac:dyDescent="0.3">
      <c r="A24" s="73" t="s">
        <v>258</v>
      </c>
      <c r="B24" s="231" t="s">
        <v>257</v>
      </c>
      <c r="C24" s="327">
        <v>0</v>
      </c>
      <c r="D24" s="327">
        <v>0</v>
      </c>
      <c r="E24" s="327">
        <v>0</v>
      </c>
      <c r="F24" s="327">
        <v>0</v>
      </c>
      <c r="G24" s="327">
        <v>0</v>
      </c>
      <c r="H24" s="327">
        <v>0</v>
      </c>
      <c r="I24" s="327">
        <v>0</v>
      </c>
      <c r="J24" s="327">
        <v>0</v>
      </c>
      <c r="K24" s="327">
        <v>0</v>
      </c>
      <c r="L24" s="327">
        <v>0</v>
      </c>
      <c r="M24" s="327">
        <v>0</v>
      </c>
      <c r="N24" s="327">
        <v>435300</v>
      </c>
      <c r="O24" s="329">
        <f>SUM(C24:N24)</f>
        <v>435300</v>
      </c>
      <c r="P24" s="172">
        <f>SUM(C24:K24)</f>
        <v>0</v>
      </c>
      <c r="Q24" s="330">
        <f>SUM(L24:N24)</f>
        <v>435300</v>
      </c>
    </row>
    <row r="25" spans="1:17" ht="15" hidden="1" outlineLevel="1" thickBot="1" x14ac:dyDescent="0.35">
      <c r="A25" s="331" t="s">
        <v>52</v>
      </c>
      <c r="B25" s="331" t="s">
        <v>257</v>
      </c>
      <c r="C25" s="333">
        <f t="shared" ref="C25:N25" si="13">SUM(C23:C24)</f>
        <v>0</v>
      </c>
      <c r="D25" s="333">
        <f t="shared" si="13"/>
        <v>6500000</v>
      </c>
      <c r="E25" s="333">
        <f t="shared" si="13"/>
        <v>6500000</v>
      </c>
      <c r="F25" s="333">
        <f t="shared" si="13"/>
        <v>6500000</v>
      </c>
      <c r="G25" s="333">
        <f t="shared" si="13"/>
        <v>6500000</v>
      </c>
      <c r="H25" s="333">
        <f t="shared" si="13"/>
        <v>6500000</v>
      </c>
      <c r="I25" s="333">
        <f t="shared" si="13"/>
        <v>6500000</v>
      </c>
      <c r="J25" s="333">
        <f t="shared" si="13"/>
        <v>0</v>
      </c>
      <c r="K25" s="333">
        <f t="shared" si="13"/>
        <v>0</v>
      </c>
      <c r="L25" s="333">
        <f t="shared" si="13"/>
        <v>0</v>
      </c>
      <c r="M25" s="333">
        <f t="shared" si="13"/>
        <v>430074</v>
      </c>
      <c r="N25" s="333">
        <f t="shared" si="13"/>
        <v>569926</v>
      </c>
      <c r="O25" s="333">
        <f>SUM(O23:O24)</f>
        <v>40000000</v>
      </c>
      <c r="P25" s="334">
        <f>SUM(P23:P24)</f>
        <v>39000000</v>
      </c>
      <c r="Q25" s="334">
        <f>SUM(Q23:Q24)</f>
        <v>1000000</v>
      </c>
    </row>
    <row r="26" spans="1:17" hidden="1" outlineLevel="1" x14ac:dyDescent="0.3">
      <c r="A26" s="335" t="s">
        <v>339</v>
      </c>
    </row>
    <row r="27" spans="1:17" hidden="1" outlineLevel="1" x14ac:dyDescent="0.3">
      <c r="A27" s="73" t="s">
        <v>256</v>
      </c>
      <c r="B27" s="231" t="s">
        <v>281</v>
      </c>
      <c r="C27" s="3">
        <v>2.8</v>
      </c>
      <c r="D27" s="3">
        <v>2.8</v>
      </c>
      <c r="E27" s="3">
        <v>2.8</v>
      </c>
      <c r="F27" s="3">
        <v>2.8</v>
      </c>
      <c r="G27" s="3">
        <v>2.8</v>
      </c>
      <c r="H27" s="3">
        <v>2.8</v>
      </c>
      <c r="I27" s="3">
        <v>2.8</v>
      </c>
      <c r="J27" s="3">
        <v>2.8</v>
      </c>
      <c r="K27" s="3">
        <v>2.8</v>
      </c>
      <c r="L27" s="3">
        <v>2.8</v>
      </c>
      <c r="M27" s="3">
        <v>2.8</v>
      </c>
      <c r="N27" s="3">
        <v>2.8</v>
      </c>
      <c r="O27" s="362">
        <f>AVERAGE(C27:N27)</f>
        <v>2.8000000000000003</v>
      </c>
      <c r="P27" s="340">
        <f>AVERAGE(C27:K27)</f>
        <v>2.8000000000000003</v>
      </c>
      <c r="Q27" s="341">
        <f>AVERAGE(L27:N27)</f>
        <v>2.7999999999999994</v>
      </c>
    </row>
    <row r="28" spans="1:17" hidden="1" outlineLevel="1" x14ac:dyDescent="0.3">
      <c r="A28" s="73" t="s">
        <v>258</v>
      </c>
      <c r="B28" s="231" t="s">
        <v>281</v>
      </c>
      <c r="C28" s="3">
        <v>2.8</v>
      </c>
      <c r="D28" s="3">
        <v>2.8</v>
      </c>
      <c r="E28" s="3">
        <v>2.8</v>
      </c>
      <c r="F28" s="3">
        <v>2.8</v>
      </c>
      <c r="G28" s="3">
        <v>2.8</v>
      </c>
      <c r="H28" s="3">
        <v>2.8</v>
      </c>
      <c r="I28" s="3">
        <v>2.8</v>
      </c>
      <c r="J28" s="3">
        <v>2.8</v>
      </c>
      <c r="K28" s="3">
        <v>2.8</v>
      </c>
      <c r="L28" s="3">
        <v>2.8</v>
      </c>
      <c r="M28" s="3">
        <v>2.8</v>
      </c>
      <c r="N28" s="3">
        <v>2.8</v>
      </c>
      <c r="O28" s="362">
        <f>AVERAGE(C28:N28)</f>
        <v>2.8000000000000003</v>
      </c>
      <c r="P28" s="340">
        <f>AVERAGE(C28:K28)</f>
        <v>2.8000000000000003</v>
      </c>
      <c r="Q28" s="341">
        <f>AVERAGE(L28:N28)</f>
        <v>2.7999999999999994</v>
      </c>
    </row>
    <row r="29" spans="1:17" hidden="1" outlineLevel="1" x14ac:dyDescent="0.3">
      <c r="A29" s="335" t="s">
        <v>341</v>
      </c>
    </row>
    <row r="30" spans="1:17" hidden="1" outlineLevel="1" x14ac:dyDescent="0.3">
      <c r="A30" s="73" t="s">
        <v>256</v>
      </c>
      <c r="B30" s="326" t="s">
        <v>298</v>
      </c>
      <c r="C30" s="353">
        <f t="shared" ref="C30:N31" si="14">C23*C27</f>
        <v>0</v>
      </c>
      <c r="D30" s="353">
        <f t="shared" si="14"/>
        <v>18200000</v>
      </c>
      <c r="E30" s="353">
        <f t="shared" si="14"/>
        <v>18200000</v>
      </c>
      <c r="F30" s="353">
        <f t="shared" si="14"/>
        <v>18200000</v>
      </c>
      <c r="G30" s="353">
        <f t="shared" si="14"/>
        <v>18200000</v>
      </c>
      <c r="H30" s="353">
        <f t="shared" si="14"/>
        <v>18200000</v>
      </c>
      <c r="I30" s="353">
        <f t="shared" si="14"/>
        <v>18200000</v>
      </c>
      <c r="J30" s="353">
        <f t="shared" si="14"/>
        <v>0</v>
      </c>
      <c r="K30" s="353">
        <f t="shared" si="14"/>
        <v>0</v>
      </c>
      <c r="L30" s="353">
        <f t="shared" si="14"/>
        <v>0</v>
      </c>
      <c r="M30" s="353">
        <f t="shared" si="14"/>
        <v>1204207.2</v>
      </c>
      <c r="N30" s="353">
        <f t="shared" si="14"/>
        <v>376952.8</v>
      </c>
      <c r="O30" s="355">
        <f>SUM(C30:N30)</f>
        <v>110781160</v>
      </c>
      <c r="P30" s="353">
        <f>SUM(C30:K30)</f>
        <v>109200000</v>
      </c>
      <c r="Q30" s="354">
        <f>SUM(L30:N30)</f>
        <v>1581160</v>
      </c>
    </row>
    <row r="31" spans="1:17" hidden="1" outlineLevel="1" x14ac:dyDescent="0.3">
      <c r="A31" s="73" t="s">
        <v>258</v>
      </c>
      <c r="B31" s="326" t="s">
        <v>298</v>
      </c>
      <c r="C31" s="353">
        <f t="shared" si="14"/>
        <v>0</v>
      </c>
      <c r="D31" s="353">
        <f t="shared" si="14"/>
        <v>0</v>
      </c>
      <c r="E31" s="353">
        <f t="shared" si="14"/>
        <v>0</v>
      </c>
      <c r="F31" s="353">
        <f t="shared" si="14"/>
        <v>0</v>
      </c>
      <c r="G31" s="353">
        <f t="shared" si="14"/>
        <v>0</v>
      </c>
      <c r="H31" s="353">
        <f t="shared" si="14"/>
        <v>0</v>
      </c>
      <c r="I31" s="353">
        <f t="shared" si="14"/>
        <v>0</v>
      </c>
      <c r="J31" s="353">
        <f t="shared" si="14"/>
        <v>0</v>
      </c>
      <c r="K31" s="353">
        <f t="shared" si="14"/>
        <v>0</v>
      </c>
      <c r="L31" s="353">
        <f t="shared" si="14"/>
        <v>0</v>
      </c>
      <c r="M31" s="353">
        <f t="shared" si="14"/>
        <v>0</v>
      </c>
      <c r="N31" s="353">
        <f t="shared" si="14"/>
        <v>1218840</v>
      </c>
      <c r="O31" s="355">
        <f>SUM(C31:N31)</f>
        <v>1218840</v>
      </c>
      <c r="P31" s="353">
        <f>SUM(C31:K31)</f>
        <v>0</v>
      </c>
      <c r="Q31" s="354">
        <f>SUM(L31:N31)</f>
        <v>1218840</v>
      </c>
    </row>
    <row r="32" spans="1:17" ht="15" collapsed="1" thickBot="1" x14ac:dyDescent="0.35">
      <c r="A32" s="356" t="s">
        <v>344</v>
      </c>
      <c r="B32" s="356" t="s">
        <v>298</v>
      </c>
      <c r="C32" s="357">
        <f>SUM(C30:C31)</f>
        <v>0</v>
      </c>
      <c r="D32" s="357">
        <f t="shared" ref="D32:N32" si="15">SUM(D30:D31)</f>
        <v>18200000</v>
      </c>
      <c r="E32" s="357">
        <f t="shared" si="15"/>
        <v>18200000</v>
      </c>
      <c r="F32" s="357">
        <f t="shared" si="15"/>
        <v>18200000</v>
      </c>
      <c r="G32" s="357">
        <f t="shared" si="15"/>
        <v>18200000</v>
      </c>
      <c r="H32" s="357">
        <f t="shared" si="15"/>
        <v>18200000</v>
      </c>
      <c r="I32" s="357">
        <f t="shared" si="15"/>
        <v>18200000</v>
      </c>
      <c r="J32" s="357">
        <f t="shared" si="15"/>
        <v>0</v>
      </c>
      <c r="K32" s="357">
        <f t="shared" si="15"/>
        <v>0</v>
      </c>
      <c r="L32" s="357">
        <f t="shared" si="15"/>
        <v>0</v>
      </c>
      <c r="M32" s="357">
        <f t="shared" si="15"/>
        <v>1204207.2</v>
      </c>
      <c r="N32" s="357">
        <f t="shared" si="15"/>
        <v>1595792.8</v>
      </c>
      <c r="O32" s="358">
        <f>SUM(O30:O31)</f>
        <v>112000000</v>
      </c>
      <c r="P32" s="359">
        <f>SUM(P30:P31)</f>
        <v>109200000</v>
      </c>
      <c r="Q32" s="359">
        <f>SUM(Q30:Q31)</f>
        <v>2800000</v>
      </c>
    </row>
    <row r="33" spans="1:18" ht="15.6" thickTop="1" thickBot="1" x14ac:dyDescent="0.35">
      <c r="A33" s="413" t="s">
        <v>345</v>
      </c>
      <c r="B33" s="414"/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2"/>
    </row>
    <row r="34" spans="1:18" hidden="1" outlineLevel="1" x14ac:dyDescent="0.3">
      <c r="A34" s="326" t="s">
        <v>283</v>
      </c>
      <c r="B34" s="326" t="s">
        <v>284</v>
      </c>
      <c r="C34" s="363">
        <v>1080</v>
      </c>
      <c r="D34" s="327">
        <v>1860</v>
      </c>
      <c r="E34" s="327">
        <v>1800</v>
      </c>
      <c r="F34" s="327">
        <v>1860</v>
      </c>
      <c r="G34" s="327">
        <v>1860</v>
      </c>
      <c r="H34" s="327">
        <v>1800</v>
      </c>
      <c r="I34" s="327">
        <v>1860</v>
      </c>
      <c r="J34" s="327">
        <v>880</v>
      </c>
      <c r="K34" s="327">
        <v>0</v>
      </c>
      <c r="L34" s="327">
        <v>0</v>
      </c>
      <c r="M34" s="327">
        <v>0</v>
      </c>
      <c r="N34" s="327">
        <v>0</v>
      </c>
      <c r="O34" s="329">
        <f>SUM(C34:N34)</f>
        <v>13000</v>
      </c>
    </row>
    <row r="35" spans="1:18" hidden="1" outlineLevel="1" x14ac:dyDescent="0.3">
      <c r="A35" s="326" t="s">
        <v>68</v>
      </c>
      <c r="B35" s="326" t="s">
        <v>285</v>
      </c>
      <c r="C35" s="364">
        <v>100</v>
      </c>
      <c r="D35" s="364">
        <v>100</v>
      </c>
      <c r="E35" s="364">
        <v>100</v>
      </c>
      <c r="F35" s="364">
        <v>100</v>
      </c>
      <c r="G35" s="364">
        <v>100</v>
      </c>
      <c r="H35" s="364">
        <v>100</v>
      </c>
      <c r="I35" s="364">
        <v>100</v>
      </c>
      <c r="J35" s="364">
        <v>100</v>
      </c>
      <c r="K35" s="364">
        <v>100</v>
      </c>
      <c r="L35" s="364">
        <v>100</v>
      </c>
      <c r="M35" s="364">
        <v>100</v>
      </c>
      <c r="N35" s="364">
        <v>100</v>
      </c>
      <c r="O35" s="362">
        <f>AVERAGE(C35:N35)</f>
        <v>100</v>
      </c>
    </row>
    <row r="36" spans="1:18" ht="15" collapsed="1" thickBot="1" x14ac:dyDescent="0.35">
      <c r="A36" s="365" t="s">
        <v>346</v>
      </c>
      <c r="B36" s="365" t="s">
        <v>298</v>
      </c>
      <c r="C36" s="366">
        <f>C34*C35</f>
        <v>108000</v>
      </c>
      <c r="D36" s="366">
        <f t="shared" ref="D36:N36" si="16">D34*D35</f>
        <v>186000</v>
      </c>
      <c r="E36" s="366">
        <f t="shared" si="16"/>
        <v>180000</v>
      </c>
      <c r="F36" s="366">
        <f t="shared" si="16"/>
        <v>186000</v>
      </c>
      <c r="G36" s="366">
        <f t="shared" si="16"/>
        <v>186000</v>
      </c>
      <c r="H36" s="366">
        <f t="shared" si="16"/>
        <v>180000</v>
      </c>
      <c r="I36" s="366">
        <f t="shared" si="16"/>
        <v>186000</v>
      </c>
      <c r="J36" s="366">
        <f t="shared" si="16"/>
        <v>88000</v>
      </c>
      <c r="K36" s="366">
        <f t="shared" si="16"/>
        <v>0</v>
      </c>
      <c r="L36" s="366">
        <f t="shared" si="16"/>
        <v>0</v>
      </c>
      <c r="M36" s="366">
        <f t="shared" si="16"/>
        <v>0</v>
      </c>
      <c r="N36" s="366">
        <f t="shared" si="16"/>
        <v>0</v>
      </c>
      <c r="O36" s="367">
        <f>SUM(C36:N36)</f>
        <v>1300000</v>
      </c>
      <c r="P36" s="368">
        <f>SUM(C36:K36)</f>
        <v>1300000</v>
      </c>
      <c r="Q36" s="369">
        <f>SUM(L36:N36)</f>
        <v>0</v>
      </c>
    </row>
    <row r="37" spans="1:18" ht="15" thickBot="1" x14ac:dyDescent="0.35">
      <c r="A37" s="415"/>
      <c r="B37" s="416"/>
      <c r="C37" s="416"/>
      <c r="D37" s="416"/>
      <c r="E37" s="416"/>
      <c r="F37" s="416"/>
      <c r="G37" s="416"/>
      <c r="H37" s="416"/>
      <c r="I37" s="416"/>
      <c r="J37" s="416"/>
      <c r="K37" s="416"/>
      <c r="L37" s="416"/>
      <c r="M37" s="416"/>
      <c r="N37" s="416"/>
      <c r="O37" s="416"/>
      <c r="P37" s="416"/>
      <c r="Q37" s="417"/>
    </row>
    <row r="38" spans="1:18" x14ac:dyDescent="0.3">
      <c r="A38" s="370" t="s">
        <v>347</v>
      </c>
      <c r="B38" s="371" t="s">
        <v>348</v>
      </c>
      <c r="C38" s="172">
        <f>53820000/12</f>
        <v>4485000</v>
      </c>
      <c r="D38" s="172">
        <f t="shared" ref="D38:N38" si="17">53820000/12</f>
        <v>4485000</v>
      </c>
      <c r="E38" s="172">
        <f t="shared" si="17"/>
        <v>4485000</v>
      </c>
      <c r="F38" s="172">
        <f t="shared" si="17"/>
        <v>4485000</v>
      </c>
      <c r="G38" s="172">
        <f t="shared" si="17"/>
        <v>4485000</v>
      </c>
      <c r="H38" s="172">
        <f t="shared" si="17"/>
        <v>4485000</v>
      </c>
      <c r="I38" s="172">
        <f t="shared" si="17"/>
        <v>4485000</v>
      </c>
      <c r="J38" s="172">
        <f t="shared" si="17"/>
        <v>4485000</v>
      </c>
      <c r="K38" s="172">
        <f t="shared" si="17"/>
        <v>4485000</v>
      </c>
      <c r="L38" s="172">
        <f t="shared" si="17"/>
        <v>4485000</v>
      </c>
      <c r="M38" s="172">
        <f t="shared" si="17"/>
        <v>4485000</v>
      </c>
      <c r="N38" s="172">
        <f t="shared" si="17"/>
        <v>4485000</v>
      </c>
      <c r="O38" s="372">
        <f>SUM(C38:N38)</f>
        <v>53820000</v>
      </c>
      <c r="Q38" t="s">
        <v>355</v>
      </c>
      <c r="R38" t="s">
        <v>354</v>
      </c>
    </row>
    <row r="39" spans="1:18" x14ac:dyDescent="0.3">
      <c r="A39" s="371" t="s">
        <v>68</v>
      </c>
      <c r="B39" s="371" t="s">
        <v>280</v>
      </c>
      <c r="C39" s="373">
        <f>C40/C38</f>
        <v>1.065551839464883E-2</v>
      </c>
      <c r="D39" s="373">
        <f t="shared" ref="D39:N39" si="18">D40/D38</f>
        <v>1.065551839464883E-2</v>
      </c>
      <c r="E39" s="373">
        <f t="shared" si="18"/>
        <v>1.065551839464883E-2</v>
      </c>
      <c r="F39" s="373">
        <f t="shared" si="18"/>
        <v>1.065551839464883E-2</v>
      </c>
      <c r="G39" s="373">
        <f t="shared" si="18"/>
        <v>1.065551839464883E-2</v>
      </c>
      <c r="H39" s="373">
        <f t="shared" si="18"/>
        <v>1.065551839464883E-2</v>
      </c>
      <c r="I39" s="373">
        <f t="shared" si="18"/>
        <v>1.065551839464883E-2</v>
      </c>
      <c r="J39" s="373">
        <f t="shared" si="18"/>
        <v>1.065551839464883E-2</v>
      </c>
      <c r="K39" s="373">
        <f t="shared" si="18"/>
        <v>1.065551839464883E-2</v>
      </c>
      <c r="L39" s="373">
        <f t="shared" si="18"/>
        <v>1.065551839464883E-2</v>
      </c>
      <c r="M39" s="373">
        <f t="shared" si="18"/>
        <v>1.065551839464883E-2</v>
      </c>
      <c r="N39" s="373">
        <f t="shared" si="18"/>
        <v>1.065551839464883E-2</v>
      </c>
      <c r="O39" s="374">
        <f>O40/O38</f>
        <v>1.065551839464883E-2</v>
      </c>
      <c r="Q39" s="375">
        <f>O19+O32</f>
        <v>595695902.95000005</v>
      </c>
      <c r="R39" s="15">
        <f>-'Comercial 19032024'!$AJ$28</f>
        <v>234728.46574000004</v>
      </c>
    </row>
    <row r="40" spans="1:18" x14ac:dyDescent="0.3">
      <c r="A40" s="350" t="s">
        <v>114</v>
      </c>
      <c r="B40" s="350" t="s">
        <v>349</v>
      </c>
      <c r="C40" s="376">
        <f>573480/12</f>
        <v>47790</v>
      </c>
      <c r="D40" s="376">
        <f t="shared" ref="D40:N40" si="19">573480/12</f>
        <v>47790</v>
      </c>
      <c r="E40" s="376">
        <f t="shared" si="19"/>
        <v>47790</v>
      </c>
      <c r="F40" s="376">
        <f t="shared" si="19"/>
        <v>47790</v>
      </c>
      <c r="G40" s="376">
        <f t="shared" si="19"/>
        <v>47790</v>
      </c>
      <c r="H40" s="376">
        <f t="shared" si="19"/>
        <v>47790</v>
      </c>
      <c r="I40" s="376">
        <f t="shared" si="19"/>
        <v>47790</v>
      </c>
      <c r="J40" s="376">
        <f t="shared" si="19"/>
        <v>47790</v>
      </c>
      <c r="K40" s="376">
        <f t="shared" si="19"/>
        <v>47790</v>
      </c>
      <c r="L40" s="376">
        <f t="shared" si="19"/>
        <v>47790</v>
      </c>
      <c r="M40" s="376">
        <f t="shared" si="19"/>
        <v>47790</v>
      </c>
      <c r="N40" s="376">
        <f t="shared" si="19"/>
        <v>47790</v>
      </c>
      <c r="O40" s="377">
        <f>SUM(C40:N40)</f>
        <v>573480</v>
      </c>
      <c r="R40" s="398">
        <f>Q39/R39</f>
        <v>2537.8085315388639</v>
      </c>
    </row>
    <row r="41" spans="1:18" x14ac:dyDescent="0.3">
      <c r="A41" s="370" t="s">
        <v>350</v>
      </c>
      <c r="B41" s="371" t="s">
        <v>348</v>
      </c>
      <c r="C41" s="172">
        <f>63640/7</f>
        <v>9091.4285714285706</v>
      </c>
      <c r="D41" s="172">
        <f t="shared" ref="D41:I41" si="20">63640/7</f>
        <v>9091.4285714285706</v>
      </c>
      <c r="E41" s="172">
        <f t="shared" si="20"/>
        <v>9091.4285714285706</v>
      </c>
      <c r="F41" s="172">
        <f t="shared" si="20"/>
        <v>9091.4285714285706</v>
      </c>
      <c r="G41" s="172">
        <f t="shared" si="20"/>
        <v>9091.4285714285706</v>
      </c>
      <c r="H41" s="172">
        <f t="shared" si="20"/>
        <v>9091.4285714285706</v>
      </c>
      <c r="I41" s="172">
        <f t="shared" si="20"/>
        <v>9091.4285714285706</v>
      </c>
      <c r="J41">
        <v>0</v>
      </c>
      <c r="K41">
        <v>0</v>
      </c>
      <c r="L41">
        <v>0</v>
      </c>
      <c r="M41">
        <v>0</v>
      </c>
      <c r="N41">
        <v>0</v>
      </c>
      <c r="O41" s="372">
        <f>SUM(C41:N41)</f>
        <v>63640</v>
      </c>
    </row>
    <row r="42" spans="1:18" x14ac:dyDescent="0.3">
      <c r="A42" s="371" t="s">
        <v>68</v>
      </c>
      <c r="B42" s="371" t="s">
        <v>280</v>
      </c>
      <c r="C42" s="364">
        <f>C43/C41</f>
        <v>2.3593334380892523</v>
      </c>
      <c r="D42" s="364">
        <f t="shared" ref="D42:I42" si="21">D43/D41</f>
        <v>2.3593334380892523</v>
      </c>
      <c r="E42" s="364">
        <f t="shared" si="21"/>
        <v>2.3593334380892523</v>
      </c>
      <c r="F42" s="364">
        <f t="shared" si="21"/>
        <v>2.3593334380892523</v>
      </c>
      <c r="G42" s="364">
        <f t="shared" si="21"/>
        <v>2.3593334380892523</v>
      </c>
      <c r="H42" s="364">
        <f t="shared" si="21"/>
        <v>2.3593334380892523</v>
      </c>
      <c r="I42" s="364">
        <f t="shared" si="21"/>
        <v>2.3593334380892523</v>
      </c>
      <c r="J42" s="364">
        <v>0</v>
      </c>
      <c r="K42" s="364">
        <v>0</v>
      </c>
      <c r="L42" s="364">
        <v>0</v>
      </c>
      <c r="M42" s="364">
        <v>0</v>
      </c>
      <c r="N42" s="364">
        <v>0</v>
      </c>
      <c r="O42" s="374">
        <f>O43/O41</f>
        <v>2.3593334380892523</v>
      </c>
    </row>
    <row r="43" spans="1:18" x14ac:dyDescent="0.3">
      <c r="A43" s="350" t="s">
        <v>114</v>
      </c>
      <c r="B43" s="350" t="s">
        <v>349</v>
      </c>
      <c r="C43" s="376">
        <f>150147.98/7</f>
        <v>21449.711428571431</v>
      </c>
      <c r="D43" s="376">
        <f t="shared" ref="D43:I43" si="22">150147.98/7</f>
        <v>21449.711428571431</v>
      </c>
      <c r="E43" s="376">
        <f t="shared" si="22"/>
        <v>21449.711428571431</v>
      </c>
      <c r="F43" s="376">
        <f t="shared" si="22"/>
        <v>21449.711428571431</v>
      </c>
      <c r="G43" s="376">
        <f t="shared" si="22"/>
        <v>21449.711428571431</v>
      </c>
      <c r="H43" s="376">
        <f t="shared" si="22"/>
        <v>21449.711428571431</v>
      </c>
      <c r="I43" s="376">
        <f t="shared" si="22"/>
        <v>21449.711428571431</v>
      </c>
      <c r="J43" s="350">
        <v>0</v>
      </c>
      <c r="K43" s="350">
        <v>0</v>
      </c>
      <c r="L43" s="350">
        <v>0</v>
      </c>
      <c r="M43" s="350">
        <v>0</v>
      </c>
      <c r="N43" s="350">
        <v>0</v>
      </c>
      <c r="O43" s="377">
        <f>SUM(C43:N43)</f>
        <v>150147.98000000001</v>
      </c>
    </row>
    <row r="44" spans="1:18" x14ac:dyDescent="0.3">
      <c r="A44" s="370" t="s">
        <v>351</v>
      </c>
      <c r="B44" s="371" t="s">
        <v>348</v>
      </c>
      <c r="C44" s="15">
        <f>34217/12</f>
        <v>2851.4166666666665</v>
      </c>
      <c r="D44" s="15">
        <f t="shared" ref="D44:N44" si="23">34217/12</f>
        <v>2851.4166666666665</v>
      </c>
      <c r="E44" s="15">
        <f t="shared" si="23"/>
        <v>2851.4166666666665</v>
      </c>
      <c r="F44" s="15">
        <f t="shared" si="23"/>
        <v>2851.4166666666665</v>
      </c>
      <c r="G44" s="15">
        <f t="shared" si="23"/>
        <v>2851.4166666666665</v>
      </c>
      <c r="H44" s="15">
        <f t="shared" si="23"/>
        <v>2851.4166666666665</v>
      </c>
      <c r="I44" s="15">
        <f t="shared" si="23"/>
        <v>2851.4166666666665</v>
      </c>
      <c r="J44" s="15">
        <f t="shared" si="23"/>
        <v>2851.4166666666665</v>
      </c>
      <c r="K44" s="15">
        <f t="shared" si="23"/>
        <v>2851.4166666666665</v>
      </c>
      <c r="L44" s="15">
        <f t="shared" si="23"/>
        <v>2851.4166666666665</v>
      </c>
      <c r="M44" s="15">
        <f t="shared" si="23"/>
        <v>2851.4166666666665</v>
      </c>
      <c r="N44" s="15">
        <f t="shared" si="23"/>
        <v>2851.4166666666665</v>
      </c>
      <c r="O44" s="372">
        <f>SUM(C44:N44)</f>
        <v>34217.000000000007</v>
      </c>
    </row>
    <row r="45" spans="1:18" x14ac:dyDescent="0.3">
      <c r="A45" s="371" t="s">
        <v>68</v>
      </c>
      <c r="B45" s="371" t="s">
        <v>280</v>
      </c>
      <c r="C45" s="364">
        <f>C46/C44</f>
        <v>32.936113627728908</v>
      </c>
      <c r="D45" s="364">
        <f t="shared" ref="D45:N45" si="24">D46/D44</f>
        <v>32.936113627728908</v>
      </c>
      <c r="E45" s="364">
        <f t="shared" si="24"/>
        <v>32.936113627728908</v>
      </c>
      <c r="F45" s="364">
        <f t="shared" si="24"/>
        <v>32.936113627728908</v>
      </c>
      <c r="G45" s="364">
        <f t="shared" si="24"/>
        <v>32.936113627728908</v>
      </c>
      <c r="H45" s="364">
        <f t="shared" si="24"/>
        <v>32.936113627728908</v>
      </c>
      <c r="I45" s="364">
        <f t="shared" si="24"/>
        <v>32.936113627728908</v>
      </c>
      <c r="J45" s="364">
        <f t="shared" si="24"/>
        <v>32.936113627728908</v>
      </c>
      <c r="K45" s="364">
        <f t="shared" si="24"/>
        <v>32.936113627728908</v>
      </c>
      <c r="L45" s="364">
        <f t="shared" si="24"/>
        <v>32.936113627728908</v>
      </c>
      <c r="M45" s="364">
        <f t="shared" si="24"/>
        <v>32.936113627728908</v>
      </c>
      <c r="N45" s="364">
        <f t="shared" si="24"/>
        <v>32.936113627728908</v>
      </c>
      <c r="O45" s="374">
        <f>O46/O44</f>
        <v>32.936113627728908</v>
      </c>
    </row>
    <row r="46" spans="1:18" x14ac:dyDescent="0.3">
      <c r="A46" s="350" t="s">
        <v>114</v>
      </c>
      <c r="B46" s="350" t="s">
        <v>349</v>
      </c>
      <c r="C46" s="376">
        <f>1126975/12</f>
        <v>93914.583333333328</v>
      </c>
      <c r="D46" s="376">
        <f t="shared" ref="D46:N46" si="25">1126975/12</f>
        <v>93914.583333333328</v>
      </c>
      <c r="E46" s="376">
        <f t="shared" si="25"/>
        <v>93914.583333333328</v>
      </c>
      <c r="F46" s="376">
        <f t="shared" si="25"/>
        <v>93914.583333333328</v>
      </c>
      <c r="G46" s="376">
        <f t="shared" si="25"/>
        <v>93914.583333333328</v>
      </c>
      <c r="H46" s="376">
        <f t="shared" si="25"/>
        <v>93914.583333333328</v>
      </c>
      <c r="I46" s="376">
        <f t="shared" si="25"/>
        <v>93914.583333333328</v>
      </c>
      <c r="J46" s="376">
        <f t="shared" si="25"/>
        <v>93914.583333333328</v>
      </c>
      <c r="K46" s="376">
        <f t="shared" si="25"/>
        <v>93914.583333333328</v>
      </c>
      <c r="L46" s="376">
        <f t="shared" si="25"/>
        <v>93914.583333333328</v>
      </c>
      <c r="M46" s="376">
        <f t="shared" si="25"/>
        <v>93914.583333333328</v>
      </c>
      <c r="N46" s="376">
        <f t="shared" si="25"/>
        <v>93914.583333333328</v>
      </c>
      <c r="O46" s="377">
        <f>SUM(C46:N46)</f>
        <v>1126975.0000000002</v>
      </c>
    </row>
    <row r="47" spans="1:18" ht="15" thickBot="1" x14ac:dyDescent="0.35">
      <c r="A47" s="356" t="s">
        <v>352</v>
      </c>
      <c r="B47" s="378"/>
      <c r="C47" s="379">
        <f>C46+C43+C40</f>
        <v>163154.29476190475</v>
      </c>
      <c r="D47" s="379">
        <f t="shared" ref="D47:N47" si="26">D46+D43+D40</f>
        <v>163154.29476190475</v>
      </c>
      <c r="E47" s="379">
        <f t="shared" si="26"/>
        <v>163154.29476190475</v>
      </c>
      <c r="F47" s="379">
        <f t="shared" si="26"/>
        <v>163154.29476190475</v>
      </c>
      <c r="G47" s="379">
        <f t="shared" si="26"/>
        <v>163154.29476190475</v>
      </c>
      <c r="H47" s="379">
        <f t="shared" si="26"/>
        <v>163154.29476190475</v>
      </c>
      <c r="I47" s="379">
        <f t="shared" si="26"/>
        <v>163154.29476190475</v>
      </c>
      <c r="J47" s="379">
        <f t="shared" si="26"/>
        <v>141704.58333333331</v>
      </c>
      <c r="K47" s="379">
        <f t="shared" si="26"/>
        <v>141704.58333333331</v>
      </c>
      <c r="L47" s="379">
        <f t="shared" si="26"/>
        <v>141704.58333333331</v>
      </c>
      <c r="M47" s="379">
        <f t="shared" si="26"/>
        <v>141704.58333333331</v>
      </c>
      <c r="N47" s="379">
        <f t="shared" si="26"/>
        <v>141704.58333333331</v>
      </c>
      <c r="O47" s="379">
        <f>O46+O43+O40</f>
        <v>1850602.9800000002</v>
      </c>
      <c r="P47" s="368">
        <f>SUM(C47:K47)</f>
        <v>1425489.2299999997</v>
      </c>
      <c r="Q47" s="369">
        <f>SUM(L47:N47)</f>
        <v>425113.74999999994</v>
      </c>
    </row>
    <row r="48" spans="1:18" ht="15" thickTop="1" x14ac:dyDescent="0.3"/>
    <row r="49" spans="1:17" ht="15" thickBot="1" x14ac:dyDescent="0.35">
      <c r="A49" s="380" t="s">
        <v>353</v>
      </c>
      <c r="B49" s="380" t="s">
        <v>298</v>
      </c>
      <c r="C49" s="381">
        <f t="shared" ref="C49:N49" si="27">C36+C32+C19+C47</f>
        <v>25856701.544761904</v>
      </c>
      <c r="D49" s="381">
        <f t="shared" si="27"/>
        <v>62641733.044761904</v>
      </c>
      <c r="E49" s="381">
        <f t="shared" si="27"/>
        <v>64629454.294761904</v>
      </c>
      <c r="F49" s="381">
        <f t="shared" si="27"/>
        <v>62641733.044761904</v>
      </c>
      <c r="G49" s="381">
        <f t="shared" si="27"/>
        <v>54327527.69476191</v>
      </c>
      <c r="H49" s="381">
        <f t="shared" si="27"/>
        <v>48716454.844761901</v>
      </c>
      <c r="I49" s="381">
        <f t="shared" si="27"/>
        <v>68773591.744761914</v>
      </c>
      <c r="J49" s="381">
        <f t="shared" si="27"/>
        <v>40908077.983333334</v>
      </c>
      <c r="K49" s="381">
        <f t="shared" si="27"/>
        <v>68820077.983333334</v>
      </c>
      <c r="L49" s="381">
        <f t="shared" si="27"/>
        <v>32910384.583333332</v>
      </c>
      <c r="M49" s="381">
        <f t="shared" si="27"/>
        <v>34114591.783333339</v>
      </c>
      <c r="N49" s="381">
        <f t="shared" si="27"/>
        <v>34506177.383333333</v>
      </c>
      <c r="O49" s="358">
        <f>SUM(C49:N49)</f>
        <v>598846505.93000007</v>
      </c>
      <c r="P49" s="353">
        <f>SUM(C49:K49)</f>
        <v>497315352.18000007</v>
      </c>
      <c r="Q49" s="354">
        <f>SUM(L49:N49)</f>
        <v>101531153.75</v>
      </c>
    </row>
    <row r="50" spans="1:17" ht="15" thickTop="1" x14ac:dyDescent="0.3"/>
    <row r="51" spans="1:17" x14ac:dyDescent="0.3">
      <c r="O51" s="72">
        <f>500000</f>
        <v>500000</v>
      </c>
      <c r="P51" t="s">
        <v>357</v>
      </c>
    </row>
  </sheetData>
  <mergeCells count="4">
    <mergeCell ref="A1:Q1"/>
    <mergeCell ref="A21:Q21"/>
    <mergeCell ref="A33:Q33"/>
    <mergeCell ref="A37:Q37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C3EA-39C9-4F11-A183-4A292D27E1F5}">
  <dimension ref="B1:R49"/>
  <sheetViews>
    <sheetView showGridLines="0" workbookViewId="0">
      <selection activeCell="F25" sqref="F25"/>
    </sheetView>
  </sheetViews>
  <sheetFormatPr defaultRowHeight="14.4" x14ac:dyDescent="0.3"/>
  <cols>
    <col min="1" max="1" width="1.33203125" customWidth="1"/>
    <col min="2" max="2" width="18.5546875" style="13" customWidth="1"/>
    <col min="3" max="3" width="12.33203125" style="13" bestFit="1" customWidth="1"/>
    <col min="4" max="4" width="13.33203125" style="13" bestFit="1" customWidth="1"/>
    <col min="5" max="5" width="20.44140625" style="13" customWidth="1"/>
    <col min="6" max="6" width="12.6640625" style="13" customWidth="1"/>
    <col min="7" max="7" width="15.33203125" style="13" bestFit="1" customWidth="1"/>
    <col min="8" max="8" width="15.5546875" bestFit="1" customWidth="1"/>
    <col min="9" max="9" width="9.33203125" bestFit="1" customWidth="1"/>
    <col min="10" max="10" width="20.44140625" customWidth="1"/>
    <col min="11" max="11" width="17" customWidth="1"/>
    <col min="12" max="12" width="14.44140625" bestFit="1" customWidth="1"/>
    <col min="13" max="13" width="12.88671875" bestFit="1" customWidth="1"/>
    <col min="14" max="14" width="11.5546875" bestFit="1" customWidth="1"/>
    <col min="15" max="15" width="5" bestFit="1" customWidth="1"/>
    <col min="17" max="17" width="13.5546875" customWidth="1"/>
  </cols>
  <sheetData>
    <row r="1" spans="2:18" x14ac:dyDescent="0.3">
      <c r="B1" s="421">
        <v>2024</v>
      </c>
      <c r="C1" s="421"/>
      <c r="D1" s="421"/>
      <c r="E1" s="421"/>
      <c r="F1" s="421"/>
      <c r="G1" s="421"/>
    </row>
    <row r="2" spans="2:18" ht="15.6" x14ac:dyDescent="0.3">
      <c r="B2" s="64" t="s">
        <v>74</v>
      </c>
      <c r="C2" s="64" t="s">
        <v>69</v>
      </c>
      <c r="D2" s="64" t="s">
        <v>75</v>
      </c>
      <c r="E2" s="64" t="s">
        <v>68</v>
      </c>
      <c r="F2" s="64" t="s">
        <v>48</v>
      </c>
      <c r="G2" s="64" t="s">
        <v>76</v>
      </c>
      <c r="J2" s="422" t="s">
        <v>45</v>
      </c>
      <c r="K2" s="423"/>
    </row>
    <row r="3" spans="2:18" x14ac:dyDescent="0.3">
      <c r="B3" s="33" t="s">
        <v>77</v>
      </c>
      <c r="C3" s="61">
        <v>457615</v>
      </c>
      <c r="D3" s="56">
        <v>68900766.549999997</v>
      </c>
      <c r="E3" s="38">
        <f>D3/C3</f>
        <v>150.5649214951433</v>
      </c>
      <c r="F3" s="34">
        <f>C3*$K$3</f>
        <v>24013347.125000004</v>
      </c>
      <c r="G3" s="38">
        <f>D3/F3</f>
        <v>2.8692695854243597</v>
      </c>
      <c r="J3" s="3" t="s">
        <v>46</v>
      </c>
      <c r="K3" s="3">
        <f>K5*50</f>
        <v>52.475000000000009</v>
      </c>
      <c r="M3" s="70"/>
    </row>
    <row r="4" spans="2:18" x14ac:dyDescent="0.3">
      <c r="B4" s="33" t="s">
        <v>78</v>
      </c>
      <c r="C4" s="61">
        <v>2121945.2400000002</v>
      </c>
      <c r="D4" s="56">
        <v>203091795.05000001</v>
      </c>
      <c r="E4" s="38">
        <f t="shared" ref="E4:E10" si="0">D4/C4</f>
        <v>95.710196107605483</v>
      </c>
      <c r="F4" s="34">
        <f>C4*$K$4</f>
        <v>66809445.881400011</v>
      </c>
      <c r="G4" s="38">
        <f t="shared" ref="G4:G10" si="1">D4/F4</f>
        <v>3.0398664795174044</v>
      </c>
      <c r="H4" s="2"/>
      <c r="J4" s="3" t="s">
        <v>47</v>
      </c>
      <c r="K4" s="3">
        <f>K5*30</f>
        <v>31.485000000000003</v>
      </c>
    </row>
    <row r="5" spans="2:18" x14ac:dyDescent="0.3">
      <c r="B5" s="33" t="s">
        <v>79</v>
      </c>
      <c r="C5" s="61">
        <v>20462179</v>
      </c>
      <c r="D5" s="56">
        <v>61212385.909999996</v>
      </c>
      <c r="E5" s="38">
        <f t="shared" si="0"/>
        <v>2.9914891229326064</v>
      </c>
      <c r="F5" s="34">
        <f>C5*$K$5</f>
        <v>21475056.8605</v>
      </c>
      <c r="G5" s="38">
        <f t="shared" si="1"/>
        <v>2.8503945906932886</v>
      </c>
      <c r="J5" s="3" t="s">
        <v>49</v>
      </c>
      <c r="K5" s="3">
        <v>1.0495000000000001</v>
      </c>
    </row>
    <row r="6" spans="2:18" x14ac:dyDescent="0.3">
      <c r="B6" s="33" t="s">
        <v>80</v>
      </c>
      <c r="C6" s="61">
        <v>228914.01</v>
      </c>
      <c r="D6" s="56">
        <v>23921864.260000002</v>
      </c>
      <c r="E6" s="38">
        <f t="shared" si="0"/>
        <v>104.50152989762401</v>
      </c>
      <c r="F6" s="34">
        <f>C6*$K$4</f>
        <v>7207357.6048500007</v>
      </c>
      <c r="G6" s="38">
        <f t="shared" si="1"/>
        <v>3.3190894044028587</v>
      </c>
      <c r="J6" s="3" t="s">
        <v>50</v>
      </c>
      <c r="K6" s="3">
        <v>1.7492000000000001</v>
      </c>
      <c r="L6" s="15"/>
      <c r="M6" s="1"/>
    </row>
    <row r="7" spans="2:18" x14ac:dyDescent="0.3">
      <c r="B7" s="33" t="s">
        <v>81</v>
      </c>
      <c r="C7" s="61">
        <v>837031</v>
      </c>
      <c r="D7" s="56">
        <v>2655978.4</v>
      </c>
      <c r="E7" s="38">
        <f t="shared" si="0"/>
        <v>3.1730944254155462</v>
      </c>
      <c r="F7" s="34">
        <f>C7*$K$5</f>
        <v>878464.03450000007</v>
      </c>
      <c r="G7" s="38">
        <f t="shared" si="1"/>
        <v>3.0234344215488762</v>
      </c>
      <c r="J7" s="3" t="s">
        <v>51</v>
      </c>
      <c r="K7" s="3">
        <v>1.6760999999999999</v>
      </c>
      <c r="L7" s="15"/>
      <c r="M7" s="1"/>
    </row>
    <row r="8" spans="2:18" x14ac:dyDescent="0.3">
      <c r="B8" s="33" t="s">
        <v>70</v>
      </c>
      <c r="C8" s="61">
        <v>52678706</v>
      </c>
      <c r="D8" s="56">
        <v>168237978.16999999</v>
      </c>
      <c r="E8" s="38">
        <f t="shared" si="0"/>
        <v>3.1936619356215772</v>
      </c>
      <c r="F8" s="34">
        <f>C8*$K$6</f>
        <v>92145592.5352</v>
      </c>
      <c r="G8" s="38">
        <f t="shared" si="1"/>
        <v>1.8257843217594198</v>
      </c>
      <c r="J8" s="3" t="s">
        <v>93</v>
      </c>
      <c r="K8" s="3">
        <f>K3*20</f>
        <v>1049.5000000000002</v>
      </c>
      <c r="M8" s="1"/>
      <c r="N8" s="1"/>
      <c r="O8" s="2"/>
      <c r="Q8" s="1"/>
      <c r="R8" s="2"/>
    </row>
    <row r="9" spans="2:18" x14ac:dyDescent="0.3">
      <c r="B9" s="33" t="s">
        <v>71</v>
      </c>
      <c r="C9" s="61">
        <v>1539358</v>
      </c>
      <c r="D9" s="56">
        <v>4910968</v>
      </c>
      <c r="E9" s="38">
        <f t="shared" si="0"/>
        <v>3.1902702295372487</v>
      </c>
      <c r="F9" s="34">
        <f>C9*$K$7</f>
        <v>2580117.9438</v>
      </c>
      <c r="G9" s="38">
        <f t="shared" si="1"/>
        <v>1.903388956230087</v>
      </c>
      <c r="N9" s="1"/>
      <c r="O9" s="2"/>
      <c r="Q9" s="1"/>
      <c r="R9" s="2"/>
    </row>
    <row r="10" spans="2:18" x14ac:dyDescent="0.3">
      <c r="B10" s="33" t="s">
        <v>309</v>
      </c>
      <c r="C10" s="61">
        <v>135677</v>
      </c>
      <c r="D10" s="56">
        <v>23764630.640000001</v>
      </c>
      <c r="E10" s="38">
        <f t="shared" si="0"/>
        <v>175.15592650191263</v>
      </c>
      <c r="F10" s="34">
        <f>C10*$K$3</f>
        <v>7119650.5750000011</v>
      </c>
      <c r="G10" s="38">
        <f t="shared" si="1"/>
        <v>3.3378928347196304</v>
      </c>
      <c r="N10" s="1"/>
      <c r="O10" s="2"/>
      <c r="Q10" s="1"/>
      <c r="R10" s="2"/>
    </row>
    <row r="11" spans="2:18" x14ac:dyDescent="0.3">
      <c r="B11" s="33"/>
      <c r="C11" s="33"/>
      <c r="D11" s="36">
        <f>SUM(D3:D10)</f>
        <v>556696366.9799999</v>
      </c>
      <c r="E11" s="35"/>
      <c r="F11" s="34">
        <f>SUM(F3:F10)</f>
        <v>222229032.56025001</v>
      </c>
      <c r="G11" s="38">
        <f>D11/F11</f>
        <v>2.505056880131403</v>
      </c>
      <c r="N11" s="1"/>
      <c r="Q11" s="1"/>
    </row>
    <row r="12" spans="2:18" x14ac:dyDescent="0.3">
      <c r="C12" s="13" t="s">
        <v>108</v>
      </c>
      <c r="D12" s="8">
        <f>570024*1000</f>
        <v>570024000</v>
      </c>
      <c r="E12" s="28">
        <f>D11/D12</f>
        <v>0.97661917214012028</v>
      </c>
      <c r="F12" s="25"/>
      <c r="G12" s="31">
        <f>G11*1000</f>
        <v>2505.056880131403</v>
      </c>
      <c r="H12" s="1"/>
    </row>
    <row r="14" spans="2:18" ht="15.6" x14ac:dyDescent="0.3">
      <c r="B14" s="64"/>
      <c r="C14" s="64"/>
      <c r="D14" s="64" t="s">
        <v>75</v>
      </c>
      <c r="E14" s="64" t="s">
        <v>82</v>
      </c>
      <c r="F14" s="64" t="s">
        <v>84</v>
      </c>
      <c r="G14" s="64" t="s">
        <v>83</v>
      </c>
      <c r="H14" s="64" t="s">
        <v>109</v>
      </c>
      <c r="J14" s="422" t="s">
        <v>310</v>
      </c>
      <c r="K14" s="424"/>
      <c r="L14" s="424"/>
    </row>
    <row r="15" spans="2:18" x14ac:dyDescent="0.3">
      <c r="B15" s="33" t="s">
        <v>72</v>
      </c>
      <c r="C15" s="33">
        <v>2023</v>
      </c>
      <c r="D15" s="36">
        <f>D3+D4+D5+D6+D7+D10</f>
        <v>383547420.80999994</v>
      </c>
      <c r="E15" s="37">
        <f>D15/(D15+D16)</f>
        <v>0.68897058353495488</v>
      </c>
      <c r="F15" s="36">
        <f>F3+F4+F5+F6+F7+F10</f>
        <v>127503322.08125003</v>
      </c>
      <c r="G15" s="36">
        <f>D15/F15*1000</f>
        <v>3008.1366865530667</v>
      </c>
      <c r="H15" s="36">
        <f>174940938.62/F15*1000</f>
        <v>1372.0500435943222</v>
      </c>
      <c r="I15" s="1"/>
      <c r="J15" t="s">
        <v>124</v>
      </c>
      <c r="K15" s="13" t="s">
        <v>69</v>
      </c>
      <c r="L15" s="13" t="s">
        <v>125</v>
      </c>
    </row>
    <row r="16" spans="2:18" x14ac:dyDescent="0.3">
      <c r="B16" s="33" t="s">
        <v>73</v>
      </c>
      <c r="C16" s="33">
        <v>2023</v>
      </c>
      <c r="D16" s="36">
        <f>D8+D9</f>
        <v>173148946.16999999</v>
      </c>
      <c r="E16" s="37">
        <f>100%-E15</f>
        <v>0.31102941646504512</v>
      </c>
      <c r="F16" s="36">
        <f>F8+F9</f>
        <v>94725710.479000002</v>
      </c>
      <c r="G16" s="36">
        <f>D16/F16*1000</f>
        <v>1827.8980996229723</v>
      </c>
      <c r="H16" s="36">
        <v>1621.7807970751307</v>
      </c>
      <c r="I16" s="1"/>
      <c r="J16" t="s">
        <v>95</v>
      </c>
      <c r="K16" s="9">
        <f>7490.78+75715</f>
        <v>83205.78</v>
      </c>
      <c r="L16" s="9">
        <f>K16*K3</f>
        <v>4366223.3055000007</v>
      </c>
    </row>
    <row r="17" spans="2:15" x14ac:dyDescent="0.3">
      <c r="B17" s="107"/>
      <c r="C17" s="107"/>
      <c r="D17" s="107"/>
      <c r="E17" s="107"/>
      <c r="F17" s="107"/>
      <c r="G17" s="108"/>
      <c r="H17" s="76">
        <f>(68379356.57+98196339.57+174940938.62)/(F15+F16)*1000</f>
        <v>1536.7777595279279</v>
      </c>
      <c r="J17" t="s">
        <v>96</v>
      </c>
      <c r="K17" s="9">
        <v>40679.57</v>
      </c>
      <c r="L17" s="9">
        <f>K4*K17</f>
        <v>1280796.2614500001</v>
      </c>
    </row>
    <row r="18" spans="2:15" x14ac:dyDescent="0.3">
      <c r="H18" s="75"/>
      <c r="J18" t="s">
        <v>97</v>
      </c>
      <c r="K18" s="9">
        <v>23246055</v>
      </c>
      <c r="L18" s="9">
        <f>K18*K5</f>
        <v>24396734.722500004</v>
      </c>
    </row>
    <row r="19" spans="2:15" x14ac:dyDescent="0.3">
      <c r="D19" s="54"/>
      <c r="E19" s="55"/>
      <c r="F19" s="32"/>
      <c r="G19" s="55"/>
      <c r="J19" t="s">
        <v>98</v>
      </c>
      <c r="K19" s="9">
        <v>23551.24</v>
      </c>
      <c r="L19" s="9">
        <f>K19*K4</f>
        <v>741510.7914000001</v>
      </c>
    </row>
    <row r="20" spans="2:15" ht="15.6" x14ac:dyDescent="0.3">
      <c r="B20" s="425" t="s">
        <v>88</v>
      </c>
      <c r="C20" s="425"/>
      <c r="D20" s="181"/>
      <c r="E20" s="426" t="s">
        <v>123</v>
      </c>
      <c r="F20" s="426"/>
      <c r="G20" s="182" t="s">
        <v>113</v>
      </c>
      <c r="J20" t="s">
        <v>99</v>
      </c>
      <c r="K20" s="9">
        <v>1922167</v>
      </c>
      <c r="L20" s="9">
        <f>K20*K5</f>
        <v>2017314.2665000001</v>
      </c>
    </row>
    <row r="21" spans="2:15" x14ac:dyDescent="0.3">
      <c r="B21" s="3" t="s">
        <v>210</v>
      </c>
      <c r="C21" s="56">
        <v>1907543.26</v>
      </c>
      <c r="E21" s="3" t="s">
        <v>87</v>
      </c>
      <c r="F21" s="56">
        <f>C22*K3</f>
        <v>137736012.67500001</v>
      </c>
      <c r="G21" s="106">
        <f>F21/$F$25</f>
        <v>0.58350857356154684</v>
      </c>
      <c r="J21" t="s">
        <v>70</v>
      </c>
      <c r="K21" s="9">
        <v>2578226</v>
      </c>
      <c r="L21" s="9">
        <f>K21*K6</f>
        <v>4509832.9192000004</v>
      </c>
    </row>
    <row r="22" spans="2:15" x14ac:dyDescent="0.3">
      <c r="B22" s="3" t="s">
        <v>205</v>
      </c>
      <c r="C22" s="56">
        <v>2624793</v>
      </c>
      <c r="E22" s="3" t="s">
        <v>70</v>
      </c>
      <c r="F22" s="56">
        <f>C23*K6</f>
        <v>81310006.961199999</v>
      </c>
      <c r="G22" s="106">
        <f t="shared" ref="G22:G25" si="2">F22/$F$25</f>
        <v>0.34446391511390723</v>
      </c>
      <c r="J22" t="s">
        <v>71</v>
      </c>
      <c r="K22" s="9">
        <v>172938.8</v>
      </c>
      <c r="L22" s="9">
        <f>K22*K7</f>
        <v>289862.72267999995</v>
      </c>
    </row>
    <row r="23" spans="2:15" x14ac:dyDescent="0.3">
      <c r="B23" s="3" t="s">
        <v>204</v>
      </c>
      <c r="C23" s="56">
        <v>46484111</v>
      </c>
      <c r="E23" s="3" t="s">
        <v>71</v>
      </c>
      <c r="F23" s="56">
        <f>C24*K7</f>
        <v>17001944.403299998</v>
      </c>
      <c r="G23" s="106">
        <f t="shared" si="2"/>
        <v>7.2027497630203968E-2</v>
      </c>
      <c r="J23" t="s">
        <v>126</v>
      </c>
      <c r="L23" s="8">
        <f>SUM(L16:L22)</f>
        <v>37602274.989230007</v>
      </c>
    </row>
    <row r="24" spans="2:15" x14ac:dyDescent="0.3">
      <c r="B24" s="3" t="s">
        <v>206</v>
      </c>
      <c r="C24" s="57">
        <v>10143753</v>
      </c>
      <c r="D24" s="54"/>
      <c r="E24" s="3" t="s">
        <v>90</v>
      </c>
      <c r="F24" s="56">
        <f>C25*330*K6/100</f>
        <v>3.2325216000000006</v>
      </c>
      <c r="G24" s="106">
        <f t="shared" si="2"/>
        <v>1.3694342032926061E-8</v>
      </c>
      <c r="K24" s="8"/>
      <c r="L24" s="8"/>
      <c r="N24" s="8">
        <f>K25+K26+K27+K30+K31</f>
        <v>0</v>
      </c>
      <c r="O24" s="8">
        <f>L25+L26+L27+L30+L31</f>
        <v>0</v>
      </c>
    </row>
    <row r="25" spans="2:15" x14ac:dyDescent="0.3">
      <c r="B25" s="3" t="s">
        <v>91</v>
      </c>
      <c r="C25" s="3">
        <v>0.56000000000000005</v>
      </c>
      <c r="D25" s="54"/>
      <c r="E25" s="179" t="s">
        <v>89</v>
      </c>
      <c r="F25" s="184">
        <f>F21+F22+F23+F24</f>
        <v>236047967.27202159</v>
      </c>
      <c r="G25" s="180">
        <f t="shared" si="2"/>
        <v>1</v>
      </c>
      <c r="K25" s="9"/>
      <c r="L25" s="9"/>
      <c r="N25" s="8">
        <f>K32+K33</f>
        <v>0</v>
      </c>
      <c r="O25" s="8">
        <f>L32+L33</f>
        <v>0</v>
      </c>
    </row>
    <row r="26" spans="2:15" ht="15.6" x14ac:dyDescent="0.3">
      <c r="C26" s="32"/>
      <c r="D26" s="32"/>
      <c r="E26" s="179" t="s">
        <v>207</v>
      </c>
      <c r="F26" s="427">
        <f>F25/C21</f>
        <v>123.74448969090305</v>
      </c>
      <c r="G26" s="427"/>
      <c r="K26" s="9"/>
      <c r="L26" s="9"/>
    </row>
    <row r="27" spans="2:15" x14ac:dyDescent="0.3">
      <c r="F27" s="418"/>
      <c r="G27" s="419"/>
      <c r="K27" s="9"/>
      <c r="L27" s="9"/>
    </row>
    <row r="28" spans="2:15" ht="15.6" x14ac:dyDescent="0.3">
      <c r="E28" s="183" t="s">
        <v>208</v>
      </c>
      <c r="F28" s="420">
        <v>127.64</v>
      </c>
      <c r="G28" s="420"/>
      <c r="K28" s="9"/>
      <c r="L28" s="9"/>
    </row>
    <row r="29" spans="2:15" ht="15.6" x14ac:dyDescent="0.3">
      <c r="E29" s="183" t="s">
        <v>209</v>
      </c>
      <c r="F29" s="420">
        <v>122.75</v>
      </c>
      <c r="G29" s="420"/>
      <c r="K29" s="9"/>
      <c r="L29" s="9"/>
    </row>
    <row r="30" spans="2:15" x14ac:dyDescent="0.3">
      <c r="K30" s="9"/>
      <c r="L30" s="9"/>
    </row>
    <row r="31" spans="2:15" ht="18" customHeight="1" x14ac:dyDescent="0.3">
      <c r="B31" s="65"/>
      <c r="C31" s="65"/>
      <c r="D31" s="66"/>
      <c r="K31" s="9"/>
      <c r="L31" s="9"/>
    </row>
    <row r="32" spans="2:15" x14ac:dyDescent="0.3">
      <c r="B32" s="65"/>
      <c r="C32" s="66"/>
      <c r="D32" s="66"/>
      <c r="K32" s="9"/>
      <c r="L32" s="9"/>
    </row>
    <row r="33" spans="2:12" x14ac:dyDescent="0.3">
      <c r="B33" s="65"/>
      <c r="C33" s="65"/>
      <c r="D33" s="67"/>
      <c r="K33" s="9"/>
      <c r="L33" s="9"/>
    </row>
    <row r="34" spans="2:12" x14ac:dyDescent="0.3">
      <c r="B34" s="65"/>
      <c r="C34" s="65"/>
      <c r="D34" s="67"/>
    </row>
    <row r="35" spans="2:12" x14ac:dyDescent="0.3">
      <c r="B35" s="65"/>
      <c r="C35" s="65"/>
      <c r="D35" s="67"/>
    </row>
    <row r="36" spans="2:12" x14ac:dyDescent="0.3">
      <c r="B36" s="65"/>
      <c r="C36" s="65"/>
      <c r="D36" s="67"/>
    </row>
    <row r="37" spans="2:12" x14ac:dyDescent="0.3">
      <c r="B37" s="65"/>
      <c r="C37" s="65"/>
      <c r="D37" s="67"/>
    </row>
    <row r="38" spans="2:12" x14ac:dyDescent="0.3">
      <c r="B38" s="65"/>
      <c r="C38" s="65"/>
      <c r="D38" s="67"/>
    </row>
    <row r="39" spans="2:12" x14ac:dyDescent="0.3">
      <c r="B39" s="65"/>
      <c r="C39" s="65"/>
      <c r="D39" s="67"/>
    </row>
    <row r="40" spans="2:12" x14ac:dyDescent="0.3">
      <c r="B40" s="66"/>
      <c r="C40" s="66"/>
      <c r="D40" s="66"/>
    </row>
    <row r="41" spans="2:12" x14ac:dyDescent="0.3">
      <c r="B41" s="68"/>
      <c r="C41" s="68"/>
      <c r="D41" s="69"/>
      <c r="E41" s="166" t="s">
        <v>94</v>
      </c>
      <c r="F41" s="166" t="s">
        <v>104</v>
      </c>
      <c r="G41" s="166" t="s">
        <v>105</v>
      </c>
    </row>
    <row r="42" spans="2:12" x14ac:dyDescent="0.3">
      <c r="B42" s="65"/>
      <c r="C42" s="65"/>
      <c r="D42" s="67"/>
      <c r="E42" s="167">
        <v>298317886.72000003</v>
      </c>
      <c r="F42" s="166">
        <v>235320.95158200001</v>
      </c>
      <c r="G42" s="168">
        <v>1267.7064439629723</v>
      </c>
    </row>
    <row r="43" spans="2:12" x14ac:dyDescent="0.3">
      <c r="B43" s="65"/>
      <c r="C43" s="65"/>
      <c r="D43" s="67"/>
    </row>
    <row r="44" spans="2:12" x14ac:dyDescent="0.3">
      <c r="B44" s="65"/>
      <c r="C44" s="65"/>
      <c r="D44" s="67"/>
    </row>
    <row r="45" spans="2:12" x14ac:dyDescent="0.3">
      <c r="B45" s="65"/>
      <c r="C45" s="65"/>
      <c r="D45" s="67"/>
    </row>
    <row r="46" spans="2:12" x14ac:dyDescent="0.3">
      <c r="B46" s="65"/>
      <c r="C46" s="65"/>
      <c r="D46" s="67"/>
    </row>
    <row r="47" spans="2:12" x14ac:dyDescent="0.3">
      <c r="B47" s="65"/>
      <c r="C47" s="65"/>
      <c r="D47" s="67"/>
    </row>
    <row r="48" spans="2:12" x14ac:dyDescent="0.3">
      <c r="B48" s="65"/>
      <c r="C48" s="65"/>
      <c r="D48" s="67"/>
    </row>
    <row r="49" spans="2:4" x14ac:dyDescent="0.3">
      <c r="B49" s="65"/>
      <c r="C49" s="65"/>
      <c r="D49" s="67"/>
    </row>
  </sheetData>
  <sheetProtection formatCells="0" formatColumns="0" formatRows="0" insertColumns="0" insertRows="0" insertHyperlinks="0" deleteColumns="0" deleteRows="0" sort="0" autoFilter="0" pivotTables="0"/>
  <mergeCells count="9">
    <mergeCell ref="F27:G27"/>
    <mergeCell ref="F28:G28"/>
    <mergeCell ref="F29:G29"/>
    <mergeCell ref="B1:G1"/>
    <mergeCell ref="J2:K2"/>
    <mergeCell ref="J14:L14"/>
    <mergeCell ref="B20:C20"/>
    <mergeCell ref="E20:F20"/>
    <mergeCell ref="F26:G2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3D495-064C-49B6-90D4-294425E1E781}">
  <dimension ref="A1:O46"/>
  <sheetViews>
    <sheetView showGridLines="0" workbookViewId="0">
      <selection activeCell="C11" sqref="C11"/>
    </sheetView>
  </sheetViews>
  <sheetFormatPr defaultRowHeight="14.4" x14ac:dyDescent="0.3"/>
  <cols>
    <col min="1" max="1" width="14.6640625" style="13" bestFit="1" customWidth="1"/>
    <col min="2" max="2" width="12.33203125" style="13" bestFit="1" customWidth="1"/>
    <col min="3" max="3" width="14.5546875" style="13" bestFit="1" customWidth="1"/>
    <col min="4" max="4" width="13.88671875" style="13" bestFit="1" customWidth="1"/>
    <col min="5" max="5" width="28.6640625" style="13" bestFit="1" customWidth="1"/>
    <col min="6" max="6" width="15.33203125" style="13" bestFit="1" customWidth="1"/>
    <col min="7" max="7" width="15.5546875" bestFit="1" customWidth="1"/>
    <col min="8" max="8" width="9.33203125" bestFit="1" customWidth="1"/>
    <col min="9" max="9" width="20.44140625" customWidth="1"/>
    <col min="10" max="10" width="17" customWidth="1"/>
    <col min="11" max="11" width="14.44140625" bestFit="1" customWidth="1"/>
    <col min="13" max="13" width="11.5546875" bestFit="1" customWidth="1"/>
    <col min="14" max="14" width="14" customWidth="1"/>
  </cols>
  <sheetData>
    <row r="1" spans="1:12" x14ac:dyDescent="0.3">
      <c r="A1" s="428">
        <v>2022</v>
      </c>
      <c r="B1" s="428"/>
      <c r="C1" s="428"/>
      <c r="D1" s="428"/>
      <c r="E1" s="428"/>
      <c r="F1" s="428"/>
    </row>
    <row r="2" spans="1:12" ht="15.6" x14ac:dyDescent="0.3">
      <c r="A2" s="64" t="s">
        <v>74</v>
      </c>
      <c r="B2" s="64" t="s">
        <v>69</v>
      </c>
      <c r="C2" s="64" t="s">
        <v>75</v>
      </c>
      <c r="D2" s="64" t="s">
        <v>68</v>
      </c>
      <c r="E2" s="64" t="s">
        <v>48</v>
      </c>
      <c r="F2" s="64" t="s">
        <v>76</v>
      </c>
      <c r="I2" s="422" t="s">
        <v>45</v>
      </c>
      <c r="J2" s="423"/>
    </row>
    <row r="3" spans="1:12" x14ac:dyDescent="0.3">
      <c r="A3" s="33" t="s">
        <v>77</v>
      </c>
      <c r="B3" s="61">
        <v>572463</v>
      </c>
      <c r="C3" s="56">
        <v>83305705.549999997</v>
      </c>
      <c r="D3" s="38">
        <f>C3/B3</f>
        <v>145.52155431879439</v>
      </c>
      <c r="E3" s="34">
        <f>B3*$J$3</f>
        <v>30039995.925000004</v>
      </c>
      <c r="F3" s="38">
        <f>C3/E3</f>
        <v>2.7731596821113746</v>
      </c>
      <c r="I3" s="3" t="s">
        <v>46</v>
      </c>
      <c r="J3" s="3">
        <f>J5*50</f>
        <v>52.475000000000009</v>
      </c>
      <c r="L3" s="70"/>
    </row>
    <row r="4" spans="1:12" x14ac:dyDescent="0.3">
      <c r="A4" s="33" t="s">
        <v>78</v>
      </c>
      <c r="B4" s="61">
        <v>1984515</v>
      </c>
      <c r="C4" s="56">
        <f>141370960.9+42624656.9</f>
        <v>183995617.80000001</v>
      </c>
      <c r="D4" s="38">
        <f t="shared" ref="D4:D9" si="0">C4/B4</f>
        <v>92.715659896750594</v>
      </c>
      <c r="E4" s="34">
        <f>B4*$J$4</f>
        <v>62482454.775000006</v>
      </c>
      <c r="F4" s="38">
        <f t="shared" ref="F4:F9" si="1">C4/E4</f>
        <v>2.9447565474591264</v>
      </c>
      <c r="G4" s="2"/>
      <c r="I4" s="3" t="s">
        <v>47</v>
      </c>
      <c r="J4" s="3">
        <f>J5*30</f>
        <v>31.485000000000003</v>
      </c>
    </row>
    <row r="5" spans="1:12" x14ac:dyDescent="0.3">
      <c r="A5" s="33" t="s">
        <v>79</v>
      </c>
      <c r="B5" s="61">
        <v>18164350</v>
      </c>
      <c r="C5" s="56">
        <f>52635338.15</f>
        <v>52635338.149999999</v>
      </c>
      <c r="D5" s="38">
        <f t="shared" si="0"/>
        <v>2.8977275900321233</v>
      </c>
      <c r="E5" s="34">
        <f>B5*$J$5</f>
        <v>19063485.325000003</v>
      </c>
      <c r="F5" s="38">
        <f t="shared" si="1"/>
        <v>2.7610553501973536</v>
      </c>
      <c r="I5" s="3" t="s">
        <v>49</v>
      </c>
      <c r="J5" s="3">
        <v>1.0495000000000001</v>
      </c>
    </row>
    <row r="6" spans="1:12" x14ac:dyDescent="0.3">
      <c r="A6" s="33" t="s">
        <v>80</v>
      </c>
      <c r="B6" s="61">
        <v>195994</v>
      </c>
      <c r="C6" s="56">
        <f>11165676.6+8416569.77</f>
        <v>19582246.369999997</v>
      </c>
      <c r="D6" s="38">
        <f t="shared" si="0"/>
        <v>99.912478800371431</v>
      </c>
      <c r="E6" s="34">
        <f>B6*$J$4</f>
        <v>6170871.0900000008</v>
      </c>
      <c r="F6" s="38">
        <f t="shared" si="1"/>
        <v>3.173335836124231</v>
      </c>
      <c r="I6" s="3" t="s">
        <v>50</v>
      </c>
      <c r="J6" s="3">
        <v>1.7492000000000001</v>
      </c>
    </row>
    <row r="7" spans="1:12" x14ac:dyDescent="0.3">
      <c r="A7" s="33" t="s">
        <v>81</v>
      </c>
      <c r="B7" s="61">
        <v>1068880</v>
      </c>
      <c r="C7" s="56">
        <v>3217476</v>
      </c>
      <c r="D7" s="38">
        <f t="shared" si="0"/>
        <v>3.010137714242946</v>
      </c>
      <c r="E7" s="34">
        <f>B7*$J$5</f>
        <v>1121789.56</v>
      </c>
      <c r="F7" s="38">
        <f>C7/E7</f>
        <v>2.8681636152862753</v>
      </c>
      <c r="I7" s="3" t="s">
        <v>51</v>
      </c>
      <c r="J7" s="3">
        <v>1.6760999999999999</v>
      </c>
    </row>
    <row r="8" spans="1:12" x14ac:dyDescent="0.3">
      <c r="A8" s="33" t="s">
        <v>70</v>
      </c>
      <c r="B8" s="61">
        <v>35772375</v>
      </c>
      <c r="C8" s="56">
        <f>131376783.09</f>
        <v>131376783.09</v>
      </c>
      <c r="D8" s="38">
        <f t="shared" si="0"/>
        <v>3.6725764808738588</v>
      </c>
      <c r="E8" s="34">
        <f>B8*$J$6</f>
        <v>62573038.350000001</v>
      </c>
      <c r="F8" s="38">
        <f t="shared" si="1"/>
        <v>2.0995749376136854</v>
      </c>
      <c r="I8" s="3" t="s">
        <v>93</v>
      </c>
      <c r="J8" s="3">
        <f>J3*20</f>
        <v>1049.5000000000002</v>
      </c>
    </row>
    <row r="9" spans="1:12" x14ac:dyDescent="0.3">
      <c r="A9" s="33" t="s">
        <v>71</v>
      </c>
      <c r="B9" s="61">
        <v>23947592</v>
      </c>
      <c r="C9" s="56">
        <f>91677296</f>
        <v>91677296</v>
      </c>
      <c r="D9" s="38">
        <f t="shared" si="0"/>
        <v>3.8282469485867305</v>
      </c>
      <c r="E9" s="34">
        <f>B9*$J$7</f>
        <v>40138558.951200001</v>
      </c>
      <c r="F9" s="38">
        <f t="shared" si="1"/>
        <v>2.2840206124853712</v>
      </c>
    </row>
    <row r="10" spans="1:12" x14ac:dyDescent="0.3">
      <c r="A10" s="33"/>
      <c r="B10" s="33"/>
      <c r="C10" s="36">
        <f>SUM(C3:C9)</f>
        <v>565790462.96000004</v>
      </c>
      <c r="D10" s="35"/>
      <c r="E10" s="34">
        <f>SUM(E3:E9)</f>
        <v>221590193.97620004</v>
      </c>
      <c r="F10" s="38">
        <f>C10/E10</f>
        <v>2.5533190472353162</v>
      </c>
    </row>
    <row r="11" spans="1:12" x14ac:dyDescent="0.3">
      <c r="B11" s="13" t="s">
        <v>108</v>
      </c>
      <c r="C11" s="8">
        <f>570024*1000</f>
        <v>570024000</v>
      </c>
      <c r="D11" s="28">
        <f>C10/C11</f>
        <v>0.99257305474857205</v>
      </c>
      <c r="E11" s="25"/>
      <c r="F11" s="31"/>
      <c r="G11" s="1"/>
    </row>
    <row r="13" spans="1:12" ht="15.6" x14ac:dyDescent="0.3">
      <c r="A13" s="64"/>
      <c r="B13" s="64"/>
      <c r="C13" s="64" t="s">
        <v>75</v>
      </c>
      <c r="D13" s="64" t="s">
        <v>82</v>
      </c>
      <c r="E13" s="64" t="s">
        <v>84</v>
      </c>
      <c r="F13" s="64" t="s">
        <v>83</v>
      </c>
      <c r="G13" s="64" t="s">
        <v>109</v>
      </c>
      <c r="I13" s="422" t="s">
        <v>122</v>
      </c>
      <c r="J13" s="424"/>
      <c r="K13" s="424"/>
    </row>
    <row r="14" spans="1:12" x14ac:dyDescent="0.3">
      <c r="A14" s="33" t="s">
        <v>72</v>
      </c>
      <c r="B14" s="33">
        <v>2022</v>
      </c>
      <c r="C14" s="36">
        <f>C3+C4+C5+C6+C7</f>
        <v>342736383.87</v>
      </c>
      <c r="D14" s="37">
        <f>C14/(C14+C15)</f>
        <v>0.60576557278278231</v>
      </c>
      <c r="E14" s="36">
        <f>E3+E4+E5+E6+E7</f>
        <v>118878596.67500003</v>
      </c>
      <c r="F14" s="36">
        <f>C14/E14*1000</f>
        <v>2883.0789852524977</v>
      </c>
      <c r="G14" s="36">
        <f>174940938.62/E14*1000</f>
        <v>1471.5932347205255</v>
      </c>
      <c r="H14" s="1"/>
      <c r="I14" t="s">
        <v>124</v>
      </c>
      <c r="J14" s="13" t="s">
        <v>69</v>
      </c>
      <c r="K14" s="13" t="s">
        <v>125</v>
      </c>
    </row>
    <row r="15" spans="1:12" x14ac:dyDescent="0.3">
      <c r="A15" s="33" t="s">
        <v>73</v>
      </c>
      <c r="B15" s="33">
        <v>2022</v>
      </c>
      <c r="C15" s="36">
        <f>C8+C9</f>
        <v>223054079.09</v>
      </c>
      <c r="D15" s="37">
        <f>100%-D14</f>
        <v>0.39423442721721769</v>
      </c>
      <c r="E15" s="36">
        <f>E8+E9</f>
        <v>102711597.3012</v>
      </c>
      <c r="F15" s="36">
        <f>C15/E15*1000</f>
        <v>2171.6542722619506</v>
      </c>
      <c r="G15" s="36">
        <v>1621.7807970751307</v>
      </c>
      <c r="H15" s="1"/>
      <c r="I15" t="s">
        <v>95</v>
      </c>
      <c r="J15" s="9">
        <v>38388.78</v>
      </c>
      <c r="K15" s="9">
        <f>J15*J3</f>
        <v>2014451.2305000003</v>
      </c>
    </row>
    <row r="16" spans="1:12" x14ac:dyDescent="0.3">
      <c r="A16" s="107"/>
      <c r="B16" s="107"/>
      <c r="C16" s="107"/>
      <c r="D16" s="107"/>
      <c r="E16" s="107"/>
      <c r="F16" s="108"/>
      <c r="G16" s="76">
        <f>(68379356.57+98196339.57+174940938.62)/(E14+E15)*1000</f>
        <v>1541.2082485774649</v>
      </c>
      <c r="I16" t="s">
        <v>96</v>
      </c>
      <c r="J16" s="9">
        <f>178257.3706</f>
        <v>178257.37059999999</v>
      </c>
      <c r="K16" s="9">
        <f>J4*J16</f>
        <v>5612433.3133410001</v>
      </c>
    </row>
    <row r="17" spans="1:15" x14ac:dyDescent="0.3">
      <c r="G17" s="75"/>
      <c r="I17" t="s">
        <v>97</v>
      </c>
      <c r="J17" s="9">
        <v>14289371</v>
      </c>
      <c r="K17" s="9">
        <f>J17*J5</f>
        <v>14996694.864500001</v>
      </c>
    </row>
    <row r="18" spans="1:15" x14ac:dyDescent="0.3">
      <c r="C18" s="54"/>
      <c r="D18" s="55"/>
      <c r="E18" s="32"/>
      <c r="F18" s="55"/>
      <c r="I18" t="s">
        <v>98</v>
      </c>
      <c r="J18" s="9">
        <v>34000.277099999999</v>
      </c>
      <c r="K18" s="9">
        <f>J18*J4</f>
        <v>1070498.7244935001</v>
      </c>
    </row>
    <row r="19" spans="1:15" ht="15.6" x14ac:dyDescent="0.3">
      <c r="A19" s="430" t="s">
        <v>88</v>
      </c>
      <c r="B19" s="430"/>
      <c r="C19" s="54"/>
      <c r="D19" s="429" t="s">
        <v>123</v>
      </c>
      <c r="E19" s="429"/>
      <c r="F19" s="79" t="s">
        <v>113</v>
      </c>
      <c r="I19" t="s">
        <v>99</v>
      </c>
      <c r="J19" s="9">
        <v>1853845</v>
      </c>
      <c r="K19" s="9">
        <f>J19*J5</f>
        <v>1945610.3275000001</v>
      </c>
    </row>
    <row r="20" spans="1:15" x14ac:dyDescent="0.3">
      <c r="A20" s="3" t="s">
        <v>1</v>
      </c>
      <c r="B20" s="56">
        <v>1549566.91</v>
      </c>
      <c r="D20" s="3" t="s">
        <v>87</v>
      </c>
      <c r="E20" s="56">
        <f>B21*J3</f>
        <v>106241357.27500002</v>
      </c>
      <c r="F20" s="106">
        <f>E20/$E$24</f>
        <v>0.51607594832785564</v>
      </c>
      <c r="I20" t="s">
        <v>70</v>
      </c>
      <c r="J20" s="9">
        <v>1186295</v>
      </c>
      <c r="K20" s="9">
        <f>J20*J6</f>
        <v>2075067.2140000002</v>
      </c>
    </row>
    <row r="21" spans="1:15" x14ac:dyDescent="0.3">
      <c r="A21" s="3" t="s">
        <v>87</v>
      </c>
      <c r="B21" s="56">
        <v>2024609</v>
      </c>
      <c r="D21" s="3" t="s">
        <v>70</v>
      </c>
      <c r="E21" s="56">
        <f>B22*J6</f>
        <v>59873686.9036</v>
      </c>
      <c r="F21" s="106">
        <f t="shared" ref="F21:F24" si="2">E21/$E$24</f>
        <v>0.29084125562024898</v>
      </c>
      <c r="I21" t="s">
        <v>71</v>
      </c>
      <c r="J21" s="9">
        <v>49243.8</v>
      </c>
      <c r="K21" s="9">
        <f>J21*J7</f>
        <v>82537.533179999999</v>
      </c>
    </row>
    <row r="22" spans="1:15" x14ac:dyDescent="0.3">
      <c r="A22" s="3" t="s">
        <v>70</v>
      </c>
      <c r="B22" s="56">
        <v>34229183</v>
      </c>
      <c r="D22" s="3" t="s">
        <v>71</v>
      </c>
      <c r="E22" s="56">
        <f>B23*J7</f>
        <v>39748755.078599997</v>
      </c>
      <c r="F22" s="106">
        <f t="shared" si="2"/>
        <v>0.19308277866727921</v>
      </c>
      <c r="I22" t="s">
        <v>126</v>
      </c>
      <c r="K22" s="8">
        <f>SUM(K15:K21)</f>
        <v>27797293.207514502</v>
      </c>
    </row>
    <row r="23" spans="1:15" x14ac:dyDescent="0.3">
      <c r="A23" s="3" t="s">
        <v>71</v>
      </c>
      <c r="B23" s="57">
        <v>23715026</v>
      </c>
      <c r="C23" s="54"/>
      <c r="D23" s="3" t="s">
        <v>90</v>
      </c>
      <c r="E23" s="56">
        <f>B24*330*J6/100</f>
        <v>3.5788632000000002</v>
      </c>
      <c r="F23" s="106">
        <f t="shared" si="2"/>
        <v>1.7384616191365991E-8</v>
      </c>
      <c r="J23" s="8"/>
      <c r="K23" s="8"/>
      <c r="M23" s="8">
        <f>J24+J25+J26+J27+J28</f>
        <v>0</v>
      </c>
      <c r="N23" s="8">
        <f>K24+K25+K26+K27+K28</f>
        <v>0</v>
      </c>
      <c r="O23" t="e">
        <f>N23/M23</f>
        <v>#DIV/0!</v>
      </c>
    </row>
    <row r="24" spans="1:15" x14ac:dyDescent="0.3">
      <c r="A24" s="3" t="s">
        <v>91</v>
      </c>
      <c r="B24" s="3">
        <v>0.62</v>
      </c>
      <c r="C24" s="54"/>
      <c r="D24" s="58" t="s">
        <v>89</v>
      </c>
      <c r="E24" s="105">
        <f>E20+E21+E22+E23</f>
        <v>205863802.83606321</v>
      </c>
      <c r="F24" s="106">
        <f t="shared" si="2"/>
        <v>1</v>
      </c>
      <c r="J24" s="9"/>
      <c r="K24" s="9"/>
      <c r="M24" s="8">
        <f>J29+J30</f>
        <v>0</v>
      </c>
      <c r="N24" s="8">
        <f>K29+K30</f>
        <v>0</v>
      </c>
      <c r="O24" t="e">
        <f>N24/M24</f>
        <v>#DIV/0!</v>
      </c>
    </row>
    <row r="25" spans="1:15" ht="15.6" x14ac:dyDescent="0.3">
      <c r="B25" s="32"/>
      <c r="C25" s="32"/>
      <c r="D25" s="58" t="s">
        <v>92</v>
      </c>
      <c r="E25" s="431">
        <f>E24/B20</f>
        <v>132.85247736482913</v>
      </c>
      <c r="F25" s="431"/>
      <c r="J25" s="9"/>
      <c r="K25" s="9"/>
    </row>
    <row r="26" spans="1:15" x14ac:dyDescent="0.3">
      <c r="E26" s="418">
        <f>E25/0.905</f>
        <v>146.79831753019792</v>
      </c>
      <c r="F26" s="419"/>
      <c r="J26" s="9"/>
      <c r="K26" s="9"/>
    </row>
    <row r="27" spans="1:15" x14ac:dyDescent="0.3">
      <c r="J27" s="9"/>
      <c r="K27" s="9"/>
    </row>
    <row r="28" spans="1:15" ht="18" customHeight="1" x14ac:dyDescent="0.3">
      <c r="A28" s="65"/>
      <c r="B28" s="65"/>
      <c r="C28" s="66"/>
      <c r="J28" s="9"/>
      <c r="K28" s="9"/>
    </row>
    <row r="29" spans="1:15" x14ac:dyDescent="0.3">
      <c r="A29" s="65"/>
      <c r="B29" s="66"/>
      <c r="C29" s="66"/>
      <c r="J29" s="9"/>
      <c r="K29" s="9"/>
    </row>
    <row r="30" spans="1:15" x14ac:dyDescent="0.3">
      <c r="A30" s="65"/>
      <c r="B30" s="65"/>
      <c r="C30" s="67"/>
      <c r="J30" s="9"/>
      <c r="K30" s="9"/>
    </row>
    <row r="31" spans="1:15" x14ac:dyDescent="0.3">
      <c r="A31" s="65"/>
      <c r="B31" s="65"/>
      <c r="C31" s="67"/>
    </row>
    <row r="32" spans="1:15" x14ac:dyDescent="0.3">
      <c r="A32" s="65"/>
      <c r="B32" s="65"/>
      <c r="C32" s="67"/>
    </row>
    <row r="33" spans="1:6" x14ac:dyDescent="0.3">
      <c r="A33" s="65"/>
      <c r="B33" s="65"/>
      <c r="C33" s="67"/>
    </row>
    <row r="34" spans="1:6" x14ac:dyDescent="0.3">
      <c r="A34" s="65"/>
      <c r="B34" s="65"/>
      <c r="C34" s="67"/>
    </row>
    <row r="35" spans="1:6" x14ac:dyDescent="0.3">
      <c r="A35" s="65"/>
      <c r="B35" s="65"/>
      <c r="C35" s="67"/>
    </row>
    <row r="36" spans="1:6" x14ac:dyDescent="0.3">
      <c r="A36" s="65"/>
      <c r="B36" s="65"/>
      <c r="C36" s="67"/>
    </row>
    <row r="37" spans="1:6" x14ac:dyDescent="0.3">
      <c r="A37" s="66"/>
      <c r="B37" s="66"/>
      <c r="C37" s="66"/>
    </row>
    <row r="38" spans="1:6" x14ac:dyDescent="0.3">
      <c r="A38" s="68"/>
      <c r="B38" s="68"/>
      <c r="C38" s="69"/>
      <c r="D38" s="166" t="s">
        <v>94</v>
      </c>
      <c r="E38" s="166" t="s">
        <v>104</v>
      </c>
      <c r="F38" s="166" t="s">
        <v>105</v>
      </c>
    </row>
    <row r="39" spans="1:6" x14ac:dyDescent="0.3">
      <c r="A39" s="65"/>
      <c r="B39" s="65"/>
      <c r="C39" s="67"/>
      <c r="D39" s="167">
        <v>298317886.72000003</v>
      </c>
      <c r="E39" s="166">
        <v>235320.95158200001</v>
      </c>
      <c r="F39" s="168">
        <v>1267.7064439629723</v>
      </c>
    </row>
    <row r="40" spans="1:6" x14ac:dyDescent="0.3">
      <c r="A40" s="65"/>
      <c r="B40" s="65"/>
      <c r="C40" s="67"/>
    </row>
    <row r="41" spans="1:6" x14ac:dyDescent="0.3">
      <c r="A41" s="65"/>
      <c r="B41" s="65"/>
      <c r="C41" s="67"/>
    </row>
    <row r="42" spans="1:6" x14ac:dyDescent="0.3">
      <c r="A42" s="65"/>
      <c r="B42" s="65"/>
      <c r="C42" s="67"/>
    </row>
    <row r="43" spans="1:6" x14ac:dyDescent="0.3">
      <c r="A43" s="65"/>
      <c r="B43" s="65"/>
      <c r="C43" s="67"/>
    </row>
    <row r="44" spans="1:6" x14ac:dyDescent="0.3">
      <c r="A44" s="65"/>
      <c r="B44" s="65"/>
      <c r="C44" s="67"/>
    </row>
    <row r="45" spans="1:6" x14ac:dyDescent="0.3">
      <c r="A45" s="65"/>
      <c r="B45" s="65"/>
      <c r="C45" s="67"/>
    </row>
    <row r="46" spans="1:6" x14ac:dyDescent="0.3">
      <c r="A46" s="65"/>
      <c r="B46" s="65"/>
      <c r="C46" s="67"/>
    </row>
  </sheetData>
  <sheetProtection formatCells="0" formatColumns="0" formatRows="0" insertColumns="0" insertRows="0" insertHyperlinks="0" deleteColumns="0" deleteRows="0" sort="0" autoFilter="0" pivotTables="0"/>
  <mergeCells count="7">
    <mergeCell ref="E26:F26"/>
    <mergeCell ref="I2:J2"/>
    <mergeCell ref="A1:F1"/>
    <mergeCell ref="D19:E19"/>
    <mergeCell ref="A19:B19"/>
    <mergeCell ref="I13:K13"/>
    <mergeCell ref="E25:F25"/>
  </mergeCells>
  <phoneticPr fontId="13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K1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l r N W C p 5 p t u l A A A A 9 g A A A B I A H A B D b 2 5 m a W c v U G F j a 2 F n Z S 5 4 b W w g o h g A K K A U A A A A A A A A A A A A A A A A A A A A A A A A A A A A h Y / R C o I w G I V f R X b v N h d B y e + E u k 2 I g u h 2 z K U j n e J m 8 9 2 6 6 J F 6 h Y y y u u v y n P M d O O d + v U E 6 1 F V w U Z 3 V j U l Q h C k K l J F N r k 2 R o N 6 d w g V K O W y F P I t C B S N s b D x Y n a D S u T Y m x H u P / Q w 3 X U E Y p R E 5 Z p u 9 L F U t Q m 2 s E 0 Y q 9 G n l / 1 u I w + E 1 h j M c s S V m c 4 Y p k M m E T J s v w M a 9 z / T H h H V f u b 5 T v H X h a g d k k k D e H / g D U E s D B B Q A A g A I A I 5 a z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W s 1 Y K I p H u A 4 A A A A R A A A A E w A c A E Z v c m 1 1 b G F z L 1 N l Y 3 R p b 2 4 x L m 0 g o h g A K K A U A A A A A A A A A A A A A A A A A A A A A A A A A A A A K 0 5 N L s n M z 1 M I h t C G 1 g B Q S w E C L Q A U A A I A C A C O W s 1 Y K n m m 2 6 U A A A D 2 A A A A E g A A A A A A A A A A A A A A A A A A A A A A Q 2 9 u Z m l n L 1 B h Y 2 t h Z 2 U u e G 1 s U E s B A i 0 A F A A C A A g A j l r N W A / K 6 a u k A A A A 6 Q A A A B M A A A A A A A A A A A A A A A A A 8 Q A A A F t D b 2 5 0 Z W 5 0 X 1 R 5 c G V z X S 5 4 b W x Q S w E C L Q A U A A I A C A C O W s 1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X m p Q / 1 y g U K B Q x A O B / g q Q A A A A A A C A A A A A A A D Z g A A w A A A A B A A A A C h b b Z s Q R d A S f C s R L y Y 3 I 6 L A A A A A A S A A A C g A A A A E A A A A A s U t 0 + T t 5 I l p C 1 7 2 Z 7 + A M l Q A A A A 9 g J M 7 q 2 F f 2 8 N 9 y u s R 8 q a L q 8 t w K h z D d F X n P T s Z z g F + z 2 o G D f h c n L D L a e R r L Z a N F d g K 0 J j 1 p 6 b x n n m I q V O S / W l C g R 5 q b p h C U 9 S r Z 4 z H / r y k o k U A A A A C d g s A K y d j D B J 3 4 f D a W D c g s t d O z Q = < / D a t a M a s h u p > 
</file>

<file path=customXml/itemProps1.xml><?xml version="1.0" encoding="utf-8"?>
<ds:datastoreItem xmlns:ds="http://schemas.openxmlformats.org/officeDocument/2006/customXml" ds:itemID="{BF4D34C6-F62C-43E9-BBC3-276547FE0F4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Aviso</vt:lpstr>
      <vt:lpstr>Modelagem 12.23</vt:lpstr>
      <vt:lpstr>Balancete não auditado 12.22</vt:lpstr>
      <vt:lpstr>Dre não Auditado 12.22</vt:lpstr>
      <vt:lpstr>Dívida-Principal</vt:lpstr>
      <vt:lpstr>Mercado</vt:lpstr>
      <vt:lpstr>Receita</vt:lpstr>
      <vt:lpstr>Comercialização&amp;Produção ATR 23</vt:lpstr>
      <vt:lpstr>Comercialização&amp;Produção Atr 22</vt:lpstr>
      <vt:lpstr>Comercial 19032024</vt:lpstr>
      <vt:lpstr>Comercial Anterior</vt:lpstr>
      <vt:lpstr>'Modelagem 12.23'!Area_de_impressao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Gonçalves</dc:creator>
  <cp:lastModifiedBy>Thiago Araujo Santana</cp:lastModifiedBy>
  <cp:lastPrinted>2023-09-22T14:40:59Z</cp:lastPrinted>
  <dcterms:created xsi:type="dcterms:W3CDTF">2019-09-10T13:47:57Z</dcterms:created>
  <dcterms:modified xsi:type="dcterms:W3CDTF">2024-06-13T16:54:16Z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uid">
    <vt:lpwstr>0b70e352-ef37-4be6-9a51-b9a3ebe17d67</vt:lpwstr>
  </property>
</Properties>
</file>